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-USER\OneDrive\Documents\"/>
    </mc:Choice>
  </mc:AlternateContent>
  <xr:revisionPtr revIDLastSave="0" documentId="8_{C84D558F-CE47-4A0F-A8E2-63816268C01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Geometer Fee" sheetId="1" r:id="rId1"/>
    <sheet name="Transfer Tax" sheetId="2" r:id="rId2"/>
    <sheet name="PL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3" l="1"/>
  <c r="D28" i="3"/>
  <c r="D27" i="3"/>
  <c r="E24" i="3"/>
  <c r="D23" i="3" s="1"/>
  <c r="D24" i="3"/>
  <c r="D29" i="3"/>
  <c r="I17" i="3"/>
  <c r="I19" i="3" s="1"/>
  <c r="I15" i="3"/>
  <c r="I16" i="3" s="1"/>
  <c r="K6" i="3"/>
  <c r="K5" i="3"/>
  <c r="C29" i="3" l="1"/>
  <c r="D25" i="3" l="1"/>
  <c r="D26" i="3" l="1"/>
  <c r="D31" i="3" l="1"/>
  <c r="D32" i="3" s="1"/>
  <c r="D33" i="3" s="1"/>
  <c r="D34" i="3" l="1"/>
  <c r="D35" i="3" s="1"/>
  <c r="D37" i="3" s="1"/>
  <c r="L48" i="2"/>
  <c r="L47" i="2"/>
  <c r="L46" i="2"/>
  <c r="L22" i="2"/>
  <c r="L21" i="2"/>
  <c r="J9" i="2"/>
  <c r="G7" i="2"/>
  <c r="G8" i="2" s="1"/>
  <c r="M4" i="2"/>
  <c r="M5" i="2" s="1"/>
  <c r="G25" i="1"/>
  <c r="G27" i="1" s="1"/>
  <c r="G8" i="1"/>
  <c r="L24" i="2" l="1"/>
  <c r="P23" i="2" s="1"/>
  <c r="N4" i="2"/>
  <c r="L50" i="2"/>
  <c r="P47" i="2" s="1"/>
  <c r="P48" i="2" s="1"/>
  <c r="P50" i="2" s="1"/>
  <c r="P24" i="2"/>
  <c r="P26" i="2" s="1"/>
  <c r="N5" i="2"/>
  <c r="M8" i="2"/>
  <c r="G10" i="2"/>
  <c r="G11" i="2" s="1"/>
  <c r="G31" i="1"/>
  <c r="G9" i="1"/>
  <c r="P27" i="2" l="1"/>
  <c r="N8" i="2"/>
  <c r="G12" i="2"/>
  <c r="N9" i="2" s="1"/>
  <c r="M9" i="2"/>
  <c r="P51" i="2"/>
  <c r="N7" i="2"/>
  <c r="G10" i="1"/>
  <c r="G11" i="1" s="1"/>
  <c r="P28" i="2" l="1"/>
  <c r="P29" i="2" s="1"/>
  <c r="G13" i="2"/>
  <c r="N10" i="2" s="1"/>
  <c r="M10" i="2"/>
  <c r="M11" i="2" s="1"/>
  <c r="P52" i="2"/>
  <c r="G14" i="2"/>
  <c r="N11" i="2" s="1"/>
  <c r="G12" i="1"/>
  <c r="P30" i="2" l="1"/>
  <c r="P31" i="2"/>
  <c r="P32" i="2" s="1"/>
  <c r="G15" i="1"/>
  <c r="G15" i="2"/>
  <c r="N12" i="2" s="1"/>
  <c r="N13" i="2" s="1"/>
  <c r="P53" i="2"/>
  <c r="P54" i="2" s="1"/>
  <c r="M13" i="2"/>
  <c r="G16" i="2" l="1"/>
  <c r="G17" i="2" s="1"/>
  <c r="P55" i="2"/>
  <c r="P56" i="2" s="1"/>
  <c r="M14" i="2"/>
  <c r="M15" i="2"/>
  <c r="M16" i="2" s="1"/>
</calcChain>
</file>

<file path=xl/sharedStrings.xml><?xml version="1.0" encoding="utf-8"?>
<sst xmlns="http://schemas.openxmlformats.org/spreadsheetml/2006/main" count="425" uniqueCount="182">
  <si>
    <t>Updated Geometer Fee Calculation</t>
  </si>
  <si>
    <t>Sub Head Name</t>
  </si>
  <si>
    <t>Sub Head No</t>
  </si>
  <si>
    <t>Amount</t>
  </si>
  <si>
    <t>Total</t>
  </si>
  <si>
    <t>Soo eegis</t>
  </si>
  <si>
    <t>Education</t>
  </si>
  <si>
    <t>Sports</t>
  </si>
  <si>
    <t>Cleaning</t>
  </si>
  <si>
    <t>University</t>
  </si>
  <si>
    <t>Firefighter</t>
  </si>
  <si>
    <t>stamp duty</t>
  </si>
  <si>
    <t>Overtime</t>
  </si>
  <si>
    <t>Transfer Tax Calculation for gift</t>
  </si>
  <si>
    <t>Gifted property only</t>
  </si>
  <si>
    <t>Fee Items</t>
  </si>
  <si>
    <t>Sub Heads</t>
  </si>
  <si>
    <t>Calculation</t>
  </si>
  <si>
    <t>Transfer Tax (Range -1)</t>
  </si>
  <si>
    <t>Stamp Duty(2.5% of the Transfer Tax amount)</t>
  </si>
  <si>
    <t>Overtime(fixed $1.5)</t>
  </si>
  <si>
    <t>OT</t>
  </si>
  <si>
    <t>Sports(Summation of the above x 2%)</t>
  </si>
  <si>
    <t>education(Summation of the above heads x 2%)</t>
  </si>
  <si>
    <t>City Development(Summation of the above heads x 10%)</t>
  </si>
  <si>
    <t>Health</t>
  </si>
  <si>
    <t>Univerisity</t>
  </si>
  <si>
    <t>Total Amount</t>
  </si>
  <si>
    <t>Transfer Tax for Sale</t>
  </si>
  <si>
    <t>Transfer Tax Example for sale</t>
  </si>
  <si>
    <t>Default years billing</t>
  </si>
  <si>
    <t>Subhead</t>
  </si>
  <si>
    <t>Rate</t>
  </si>
  <si>
    <t>Transfer of ownership (Sale) transaction only</t>
  </si>
  <si>
    <t>Default Years</t>
  </si>
  <si>
    <t>Shilling Conv Rate</t>
  </si>
  <si>
    <t>Area in Sqm</t>
  </si>
  <si>
    <t>Parcel Area*default year*100</t>
  </si>
  <si>
    <t>Assumed Prchase price</t>
  </si>
  <si>
    <t>10% of above</t>
  </si>
  <si>
    <t>Transfer Tax</t>
  </si>
  <si>
    <t>2.5% of Selling price</t>
  </si>
  <si>
    <t>Transfer Tax(2.5% of Selling price)</t>
  </si>
  <si>
    <t>Discount Billing</t>
  </si>
  <si>
    <t>Stamp Duty</t>
  </si>
  <si>
    <t>2.5% of the Transfer Tax amount</t>
  </si>
  <si>
    <t>Discount%</t>
  </si>
  <si>
    <t>To pay%</t>
  </si>
  <si>
    <t>2% of above</t>
  </si>
  <si>
    <t>fixed $1.7</t>
  </si>
  <si>
    <t>Sum of the above heads * 2%</t>
  </si>
  <si>
    <t>education</t>
  </si>
  <si>
    <t>2.5% of above</t>
  </si>
  <si>
    <t>City Development</t>
  </si>
  <si>
    <t>Sum of the above heads x 10%</t>
  </si>
  <si>
    <t>Health (2% of above sum)</t>
  </si>
  <si>
    <t>5% of above</t>
  </si>
  <si>
    <t>Sum of the above heads * 5%</t>
  </si>
  <si>
    <t>SLSH</t>
  </si>
  <si>
    <t>USD</t>
  </si>
  <si>
    <t>Amount After Discount</t>
  </si>
  <si>
    <t>Transfer Tax for gift</t>
  </si>
  <si>
    <t>Gift</t>
  </si>
  <si>
    <t>Fields</t>
  </si>
  <si>
    <t>Values</t>
  </si>
  <si>
    <t>TT</t>
  </si>
  <si>
    <t>Building</t>
  </si>
  <si>
    <t xml:space="preserve">Size </t>
  </si>
  <si>
    <t>Number of buildigs</t>
  </si>
  <si>
    <t>Empty land</t>
  </si>
  <si>
    <t>Building area</t>
  </si>
  <si>
    <t>empty land</t>
  </si>
  <si>
    <t>&lt;=432</t>
  </si>
  <si>
    <t>Plus subheds</t>
  </si>
  <si>
    <t>Empty land area</t>
  </si>
  <si>
    <t>property size range price</t>
  </si>
  <si>
    <t>Downtown</t>
  </si>
  <si>
    <t>No</t>
  </si>
  <si>
    <t>Total TT</t>
  </si>
  <si>
    <t>Enter Values here</t>
  </si>
  <si>
    <t>Note</t>
  </si>
  <si>
    <t>1. If multiple building  in property , each property have to pay tax based on its size</t>
  </si>
  <si>
    <t>Land With building</t>
  </si>
  <si>
    <t>2. If a property have empty area and builtin area then need to for both based on its size</t>
  </si>
  <si>
    <t>&lt;144</t>
  </si>
  <si>
    <t>3. Gifted property size usually less than 4320sqm, so not included above 4320 size property tax, that will fix if we get that scenario</t>
  </si>
  <si>
    <t>144 to 863</t>
  </si>
  <si>
    <r>
      <t>Building area</t>
    </r>
    <r>
      <rPr>
        <vertAlign val="superscript"/>
        <sz val="15"/>
        <color theme="1"/>
        <rFont val="Calibri"/>
        <family val="2"/>
        <scheme val="minor"/>
      </rPr>
      <t>*</t>
    </r>
  </si>
  <si>
    <t>&gt;= 864</t>
  </si>
  <si>
    <t>Downtown  Building area</t>
  </si>
  <si>
    <t>any size</t>
  </si>
  <si>
    <t>Inheritance Formula</t>
  </si>
  <si>
    <t>Transfer Tax for Inheritance</t>
  </si>
  <si>
    <t>Inheritance Triff</t>
  </si>
  <si>
    <t>Transfer Tax example for inheritance</t>
  </si>
  <si>
    <t>Land size</t>
  </si>
  <si>
    <t>Transfer tax</t>
  </si>
  <si>
    <t>Empty land  no wall</t>
  </si>
  <si>
    <t>&lt;=64</t>
  </si>
  <si>
    <t>Number of floors</t>
  </si>
  <si>
    <t>Inherited property only</t>
  </si>
  <si>
    <t>&gt;64</t>
  </si>
  <si>
    <t>1 floor building</t>
  </si>
  <si>
    <t>Any size</t>
  </si>
  <si>
    <t xml:space="preserve">Transfer Tax </t>
  </si>
  <si>
    <t>&gt;1 floor building</t>
  </si>
  <si>
    <t>Empty land with wall</t>
  </si>
  <si>
    <t>3. Number of floors also factor to decide the inherited property tax</t>
  </si>
  <si>
    <t>OLD</t>
  </si>
  <si>
    <t>Inheritance</t>
  </si>
  <si>
    <t>size</t>
  </si>
  <si>
    <t>12*12 or less</t>
  </si>
  <si>
    <t>12*12</t>
  </si>
  <si>
    <t>empty  land</t>
  </si>
  <si>
    <t>12*12  above</t>
  </si>
  <si>
    <t>5 plots (5*24*18)</t>
  </si>
  <si>
    <t>1story</t>
  </si>
  <si>
    <t>90*48 full block</t>
  </si>
  <si>
    <t>12*12 above</t>
  </si>
  <si>
    <t>90*48*2 (2 blocks)</t>
  </si>
  <si>
    <t>2story and above half built</t>
  </si>
  <si>
    <t>90*48*3 (3blocks)</t>
  </si>
  <si>
    <t>2story and above full built</t>
  </si>
  <si>
    <t>Property in down town</t>
  </si>
  <si>
    <t>2story and above</t>
  </si>
  <si>
    <t>With Normal</t>
  </si>
  <si>
    <t>12*12 residential or less</t>
  </si>
  <si>
    <t>With Villa</t>
  </si>
  <si>
    <t>12*12 above  (Villa)</t>
  </si>
  <si>
    <t>palace (qasari)</t>
  </si>
  <si>
    <t>12*12 above (qasri)</t>
  </si>
  <si>
    <t>Premier of Land in SLSH</t>
  </si>
  <si>
    <t>Fee Item</t>
  </si>
  <si>
    <t>sub head numbers</t>
  </si>
  <si>
    <t>Amount/meter square</t>
  </si>
  <si>
    <t>Notes</t>
  </si>
  <si>
    <t>Remarks</t>
  </si>
  <si>
    <t>Updated Status</t>
  </si>
  <si>
    <t>C/Premier of land</t>
  </si>
  <si>
    <t>Fixed chargefor square meters</t>
  </si>
  <si>
    <t>* need to calculate in this order only.
* To calculate education fee, first need to calculate sports fee then add it to the premier of land and yearly tax then find 2%</t>
  </si>
  <si>
    <t>Done</t>
  </si>
  <si>
    <t>Yearly Property Tax</t>
  </si>
  <si>
    <t>5% of the above sum</t>
  </si>
  <si>
    <t>Universities</t>
  </si>
  <si>
    <t>2% of the above sum</t>
  </si>
  <si>
    <t>Map fee</t>
  </si>
  <si>
    <t>Fixed charges for any property size</t>
  </si>
  <si>
    <t>Already Same value</t>
  </si>
  <si>
    <t xml:space="preserve">Registration </t>
  </si>
  <si>
    <t xml:space="preserve">Hygien </t>
  </si>
  <si>
    <t>Range based</t>
  </si>
  <si>
    <t>Fixed Hygene range charges (refer hygene range table bottom)</t>
  </si>
  <si>
    <t xml:space="preserve">Excavation </t>
  </si>
  <si>
    <t>2% of the above sum including Sports</t>
  </si>
  <si>
    <t>2% of the above sum including sports &amp; education</t>
  </si>
  <si>
    <t>15% of the above sum including sports, education &amp; health</t>
  </si>
  <si>
    <t>2.5% of the above sum including sports, education, health &amp; City development</t>
  </si>
  <si>
    <t xml:space="preserve">Premier of Land Example calcualton </t>
  </si>
  <si>
    <t>Land Size</t>
  </si>
  <si>
    <t>Discount %</t>
  </si>
  <si>
    <r>
      <t>C/Premier of land (24x18) 432 m</t>
    </r>
    <r>
      <rPr>
        <vertAlign val="superscript"/>
        <sz val="11"/>
        <color theme="1"/>
        <rFont val="Calibri"/>
        <family val="2"/>
        <scheme val="minor"/>
      </rPr>
      <t>2</t>
    </r>
  </si>
  <si>
    <t>To Pay %</t>
  </si>
  <si>
    <t>Total Amount in SLSH</t>
  </si>
  <si>
    <t>Haygene range Table</t>
  </si>
  <si>
    <t>Range in meter square</t>
  </si>
  <si>
    <t>Range name</t>
  </si>
  <si>
    <t>hygene amount in SLSH</t>
  </si>
  <si>
    <t>&lt;=100</t>
  </si>
  <si>
    <t>Range-1</t>
  </si>
  <si>
    <t>101 - 143</t>
  </si>
  <si>
    <t>Range-2</t>
  </si>
  <si>
    <t>144-215</t>
  </si>
  <si>
    <t>Range-3</t>
  </si>
  <si>
    <t>216-575</t>
  </si>
  <si>
    <t>Range-4</t>
  </si>
  <si>
    <t>&gt;575</t>
  </si>
  <si>
    <t>Range-5</t>
  </si>
  <si>
    <t>216-431</t>
  </si>
  <si>
    <t>&gt;=432</t>
  </si>
  <si>
    <t>//This is the correct Hygiene Table</t>
  </si>
  <si>
    <t>Previous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</si>
</sst>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vertAlign val="superscript"/>
      <sz val="15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05">
    <xf numFmtId="0" fontId="0" fillId="0" borderId="0" xfId="0"/>
    <xf numFmtId="0" fontId="0" fillId="0" borderId="2" xfId="0" applyBorder="1"/>
    <xf numFmtId="0" fontId="5" fillId="0" borderId="3" xfId="0" applyFont="1" applyFill="1" applyBorder="1" applyAlignment="1">
      <alignment horizontal="center"/>
    </xf>
    <xf numFmtId="0" fontId="0" fillId="0" borderId="4" xfId="0" applyFill="1" applyBorder="1"/>
    <xf numFmtId="0" fontId="3" fillId="0" borderId="5" xfId="0" applyFont="1" applyFill="1" applyBorder="1"/>
    <xf numFmtId="0" fontId="0" fillId="0" borderId="6" xfId="0" applyBorder="1"/>
    <xf numFmtId="0" fontId="6" fillId="2" borderId="0" xfId="0" applyFont="1" applyFill="1" applyBorder="1"/>
    <xf numFmtId="0" fontId="5" fillId="0" borderId="8" xfId="0" applyFont="1" applyFill="1" applyBorder="1" applyAlignment="1">
      <alignment horizontal="center"/>
    </xf>
    <xf numFmtId="3" fontId="0" fillId="0" borderId="9" xfId="0" applyNumberFormat="1" applyFill="1" applyBorder="1"/>
    <xf numFmtId="3" fontId="3" fillId="0" borderId="10" xfId="0" applyNumberFormat="1" applyFont="1" applyFill="1" applyBorder="1"/>
    <xf numFmtId="0" fontId="0" fillId="0" borderId="11" xfId="0" applyBorder="1"/>
    <xf numFmtId="0" fontId="0" fillId="0" borderId="0" xfId="0" applyBorder="1"/>
    <xf numFmtId="0" fontId="0" fillId="0" borderId="9" xfId="0" applyFill="1" applyBorder="1"/>
    <xf numFmtId="9" fontId="0" fillId="0" borderId="9" xfId="0" applyNumberFormat="1" applyFill="1" applyBorder="1"/>
    <xf numFmtId="10" fontId="0" fillId="0" borderId="9" xfId="0" applyNumberFormat="1" applyFill="1" applyBorder="1"/>
    <xf numFmtId="0" fontId="0" fillId="0" borderId="9" xfId="0" applyNumberFormat="1" applyFill="1" applyBorder="1"/>
    <xf numFmtId="0" fontId="3" fillId="0" borderId="10" xfId="0" applyFont="1" applyFill="1" applyBorder="1"/>
    <xf numFmtId="1" fontId="0" fillId="0" borderId="13" xfId="0" applyNumberFormat="1" applyBorder="1"/>
    <xf numFmtId="1" fontId="5" fillId="0" borderId="14" xfId="0" applyNumberFormat="1" applyFont="1" applyFill="1" applyBorder="1" applyAlignment="1">
      <alignment horizontal="center"/>
    </xf>
    <xf numFmtId="1" fontId="0" fillId="0" borderId="15" xfId="0" applyNumberFormat="1" applyFill="1" applyBorder="1"/>
    <xf numFmtId="1" fontId="3" fillId="0" borderId="16" xfId="0" applyNumberFormat="1" applyFont="1" applyFill="1" applyBorder="1"/>
    <xf numFmtId="1" fontId="0" fillId="0" borderId="17" xfId="0" applyNumberFormat="1" applyBorder="1"/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9" xfId="0" applyBorder="1"/>
    <xf numFmtId="0" fontId="0" fillId="0" borderId="15" xfId="0" applyBorder="1"/>
    <xf numFmtId="0" fontId="0" fillId="0" borderId="9" xfId="0" applyBorder="1" applyAlignment="1">
      <alignment horizontal="center"/>
    </xf>
    <xf numFmtId="0" fontId="0" fillId="0" borderId="9" xfId="0" applyBorder="1" applyAlignment="1"/>
    <xf numFmtId="0" fontId="0" fillId="5" borderId="9" xfId="0" applyFill="1" applyBorder="1" applyAlignment="1">
      <alignment horizontal="center"/>
    </xf>
    <xf numFmtId="3" fontId="0" fillId="5" borderId="9" xfId="0" applyNumberFormat="1" applyFill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/>
    <xf numFmtId="0" fontId="0" fillId="0" borderId="4" xfId="0" applyBorder="1"/>
    <xf numFmtId="0" fontId="0" fillId="5" borderId="4" xfId="0" applyFill="1" applyBorder="1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/>
    <xf numFmtId="0" fontId="3" fillId="0" borderId="9" xfId="0" applyFont="1" applyBorder="1"/>
    <xf numFmtId="0" fontId="0" fillId="0" borderId="2" xfId="0" applyBorder="1" applyAlignment="1">
      <alignment wrapText="1"/>
    </xf>
    <xf numFmtId="0" fontId="0" fillId="6" borderId="4" xfId="0" applyFill="1" applyBorder="1" applyAlignment="1">
      <alignment vertical="top" wrapText="1"/>
    </xf>
    <xf numFmtId="0" fontId="0" fillId="6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 wrapText="1"/>
    </xf>
    <xf numFmtId="0" fontId="0" fillId="6" borderId="4" xfId="0" applyFont="1" applyFill="1" applyBorder="1" applyAlignment="1">
      <alignment vertical="top" wrapText="1"/>
    </xf>
    <xf numFmtId="0" fontId="0" fillId="6" borderId="9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 wrapText="1"/>
    </xf>
    <xf numFmtId="0" fontId="0" fillId="5" borderId="5" xfId="0" applyFill="1" applyBorder="1"/>
    <xf numFmtId="0" fontId="0" fillId="5" borderId="10" xfId="0" applyFill="1" applyBorder="1" applyAlignment="1">
      <alignment horizontal="center"/>
    </xf>
    <xf numFmtId="0" fontId="0" fillId="6" borderId="29" xfId="0" applyFill="1" applyBorder="1" applyAlignment="1">
      <alignment vertical="top" wrapText="1"/>
    </xf>
    <xf numFmtId="0" fontId="0" fillId="6" borderId="30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 wrapText="1"/>
    </xf>
    <xf numFmtId="0" fontId="3" fillId="0" borderId="25" xfId="0" applyFont="1" applyBorder="1"/>
    <xf numFmtId="0" fontId="3" fillId="0" borderId="26" xfId="0" applyFont="1" applyBorder="1" applyAlignment="1">
      <alignment horizontal="center"/>
    </xf>
    <xf numFmtId="0" fontId="3" fillId="0" borderId="26" xfId="0" applyFont="1" applyBorder="1" applyAlignment="1"/>
    <xf numFmtId="165" fontId="0" fillId="0" borderId="0" xfId="2" applyFont="1"/>
    <xf numFmtId="164" fontId="3" fillId="0" borderId="15" xfId="0" applyNumberFormat="1" applyFont="1" applyBorder="1" applyAlignment="1"/>
    <xf numFmtId="165" fontId="3" fillId="0" borderId="15" xfId="2" applyFont="1" applyBorder="1"/>
    <xf numFmtId="165" fontId="0" fillId="0" borderId="15" xfId="2" applyFont="1" applyBorder="1"/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5" borderId="9" xfId="0" applyFill="1" applyBorder="1" applyAlignment="1">
      <alignment horizontal="right"/>
    </xf>
    <xf numFmtId="165" fontId="0" fillId="5" borderId="15" xfId="2" applyFont="1" applyFill="1" applyBorder="1"/>
    <xf numFmtId="0" fontId="0" fillId="0" borderId="4" xfId="0" applyBorder="1" applyAlignment="1">
      <alignment vertical="top" wrapText="1"/>
    </xf>
    <xf numFmtId="165" fontId="8" fillId="0" borderId="16" xfId="0" applyNumberFormat="1" applyFont="1" applyBorder="1"/>
    <xf numFmtId="0" fontId="0" fillId="7" borderId="40" xfId="0" applyFill="1" applyBorder="1" applyAlignment="1">
      <alignment wrapText="1"/>
    </xf>
    <xf numFmtId="0" fontId="0" fillId="7" borderId="9" xfId="0" applyFill="1" applyBorder="1"/>
    <xf numFmtId="165" fontId="0" fillId="7" borderId="9" xfId="2" applyFont="1" applyFill="1" applyBorder="1"/>
    <xf numFmtId="165" fontId="0" fillId="0" borderId="9" xfId="2" applyFont="1" applyBorder="1"/>
    <xf numFmtId="165" fontId="0" fillId="0" borderId="9" xfId="2" applyFont="1" applyBorder="1" applyAlignment="1">
      <alignment horizontal="right"/>
    </xf>
    <xf numFmtId="165" fontId="0" fillId="0" borderId="18" xfId="2" applyFont="1" applyBorder="1"/>
    <xf numFmtId="165" fontId="8" fillId="0" borderId="28" xfId="0" applyNumberFormat="1" applyFont="1" applyBorder="1"/>
    <xf numFmtId="1" fontId="0" fillId="0" borderId="9" xfId="0" applyNumberFormat="1" applyBorder="1"/>
    <xf numFmtId="1" fontId="0" fillId="0" borderId="0" xfId="0" applyNumberFormat="1"/>
    <xf numFmtId="0" fontId="7" fillId="0" borderId="0" xfId="0" applyFont="1" applyBorder="1"/>
    <xf numFmtId="1" fontId="7" fillId="0" borderId="0" xfId="0" applyNumberFormat="1" applyFont="1" applyBorder="1"/>
    <xf numFmtId="0" fontId="0" fillId="0" borderId="14" xfId="0" applyBorder="1"/>
    <xf numFmtId="0" fontId="0" fillId="0" borderId="16" xfId="0" applyBorder="1"/>
    <xf numFmtId="0" fontId="0" fillId="0" borderId="9" xfId="0" applyFill="1" applyBorder="1"/>
    <xf numFmtId="0" fontId="2" fillId="0" borderId="9" xfId="0" applyFont="1" applyBorder="1"/>
    <xf numFmtId="0" fontId="3" fillId="4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4" borderId="15" xfId="0" applyFill="1" applyBorder="1"/>
    <xf numFmtId="0" fontId="0" fillId="0" borderId="5" xfId="0" applyBorder="1"/>
    <xf numFmtId="0" fontId="0" fillId="0" borderId="10" xfId="0" applyBorder="1"/>
    <xf numFmtId="1" fontId="0" fillId="0" borderId="2" xfId="0" applyNumberFormat="1" applyBorder="1"/>
    <xf numFmtId="1" fontId="0" fillId="0" borderId="19" xfId="0" applyNumberFormat="1" applyBorder="1"/>
    <xf numFmtId="0" fontId="0" fillId="0" borderId="36" xfId="0" applyBorder="1"/>
    <xf numFmtId="0" fontId="0" fillId="0" borderId="20" xfId="0" applyBorder="1"/>
    <xf numFmtId="1" fontId="7" fillId="0" borderId="0" xfId="0" applyNumberFormat="1" applyFont="1" applyBorder="1" applyAlignment="1">
      <alignment horizontal="left"/>
    </xf>
    <xf numFmtId="165" fontId="7" fillId="0" borderId="0" xfId="2" applyFont="1" applyBorder="1"/>
    <xf numFmtId="1" fontId="0" fillId="0" borderId="4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165" fontId="8" fillId="0" borderId="0" xfId="0" applyNumberFormat="1" applyFont="1" applyBorder="1"/>
    <xf numFmtId="0" fontId="0" fillId="0" borderId="0" xfId="0" applyFill="1" applyBorder="1"/>
    <xf numFmtId="0" fontId="0" fillId="0" borderId="11" xfId="0" applyBorder="1"/>
    <xf numFmtId="9" fontId="0" fillId="6" borderId="9" xfId="0" applyNumberFormat="1" applyFont="1" applyFill="1" applyBorder="1" applyAlignment="1">
      <alignment horizontal="center" vertical="center" wrapText="1"/>
    </xf>
    <xf numFmtId="165" fontId="0" fillId="0" borderId="24" xfId="2" applyFont="1" applyBorder="1"/>
    <xf numFmtId="0" fontId="0" fillId="0" borderId="23" xfId="0" applyBorder="1" applyAlignment="1">
      <alignment wrapText="1"/>
    </xf>
    <xf numFmtId="1" fontId="0" fillId="0" borderId="18" xfId="0" applyNumberFormat="1" applyBorder="1"/>
    <xf numFmtId="0" fontId="3" fillId="0" borderId="3" xfId="0" applyFont="1" applyBorder="1"/>
    <xf numFmtId="0" fontId="3" fillId="0" borderId="8" xfId="0" applyFont="1" applyBorder="1"/>
    <xf numFmtId="165" fontId="3" fillId="0" borderId="14" xfId="2" applyFont="1" applyBorder="1"/>
    <xf numFmtId="0" fontId="0" fillId="7" borderId="4" xfId="0" applyFill="1" applyBorder="1" applyAlignment="1">
      <alignment wrapText="1"/>
    </xf>
    <xf numFmtId="165" fontId="0" fillId="7" borderId="15" xfId="2" applyFont="1" applyFill="1" applyBorder="1"/>
    <xf numFmtId="165" fontId="0" fillId="0" borderId="15" xfId="2" applyFont="1" applyBorder="1" applyAlignment="1">
      <alignment horizontal="right"/>
    </xf>
    <xf numFmtId="0" fontId="1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2" borderId="0" xfId="0" applyFont="1" applyFill="1"/>
    <xf numFmtId="1" fontId="0" fillId="0" borderId="5" xfId="0" applyNumberFormat="1" applyBorder="1"/>
    <xf numFmtId="1" fontId="0" fillId="0" borderId="29" xfId="0" applyNumberFormat="1" applyBorder="1"/>
    <xf numFmtId="1" fontId="0" fillId="0" borderId="3" xfId="0" applyNumberFormat="1" applyFill="1" applyBorder="1"/>
    <xf numFmtId="0" fontId="0" fillId="0" borderId="8" xfId="0" applyFill="1" applyBorder="1"/>
    <xf numFmtId="0" fontId="0" fillId="0" borderId="10" xfId="0" applyFill="1" applyBorder="1"/>
    <xf numFmtId="0" fontId="3" fillId="4" borderId="22" xfId="0" applyFont="1" applyFill="1" applyBorder="1" applyAlignment="1">
      <alignment horizontal="center"/>
    </xf>
    <xf numFmtId="0" fontId="3" fillId="4" borderId="43" xfId="0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/>
    </xf>
    <xf numFmtId="0" fontId="0" fillId="4" borderId="46" xfId="0" applyFill="1" applyBorder="1"/>
    <xf numFmtId="0" fontId="3" fillId="0" borderId="5" xfId="0" applyFont="1" applyBorder="1"/>
    <xf numFmtId="0" fontId="3" fillId="0" borderId="10" xfId="0" applyFont="1" applyBorder="1"/>
    <xf numFmtId="1" fontId="0" fillId="0" borderId="6" xfId="0" applyNumberFormat="1" applyFill="1" applyBorder="1" applyAlignment="1">
      <alignment wrapText="1"/>
    </xf>
    <xf numFmtId="0" fontId="0" fillId="0" borderId="11" xfId="0" applyFill="1" applyBorder="1"/>
    <xf numFmtId="0" fontId="0" fillId="0" borderId="47" xfId="0" applyFill="1" applyBorder="1"/>
    <xf numFmtId="1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/>
    <xf numFmtId="165" fontId="0" fillId="0" borderId="0" xfId="2" applyFont="1" applyFill="1" applyBorder="1"/>
    <xf numFmtId="0" fontId="3" fillId="3" borderId="3" xfId="0" applyFont="1" applyFill="1" applyBorder="1"/>
    <xf numFmtId="0" fontId="3" fillId="3" borderId="8" xfId="0" applyFont="1" applyFill="1" applyBorder="1"/>
    <xf numFmtId="0" fontId="3" fillId="3" borderId="14" xfId="0" applyFont="1" applyFill="1" applyBorder="1"/>
    <xf numFmtId="0" fontId="3" fillId="0" borderId="16" xfId="0" applyFont="1" applyBorder="1" applyProtection="1"/>
    <xf numFmtId="0" fontId="3" fillId="3" borderId="21" xfId="0" applyFont="1" applyFill="1" applyBorder="1"/>
    <xf numFmtId="0" fontId="3" fillId="3" borderId="42" xfId="0" applyFont="1" applyFill="1" applyBorder="1"/>
    <xf numFmtId="0" fontId="3" fillId="3" borderId="45" xfId="0" applyFont="1" applyFill="1" applyBorder="1"/>
    <xf numFmtId="0" fontId="0" fillId="0" borderId="3" xfId="0" applyBorder="1"/>
    <xf numFmtId="0" fontId="0" fillId="0" borderId="8" xfId="0" applyBorder="1"/>
    <xf numFmtId="0" fontId="0" fillId="0" borderId="46" xfId="0" applyFill="1" applyBorder="1"/>
    <xf numFmtId="0" fontId="0" fillId="0" borderId="44" xfId="0" applyBorder="1" applyAlignment="1">
      <alignment wrapText="1"/>
    </xf>
    <xf numFmtId="0" fontId="2" fillId="0" borderId="4" xfId="0" applyFont="1" applyFill="1" applyBorder="1"/>
    <xf numFmtId="0" fontId="2" fillId="0" borderId="15" xfId="0" applyFont="1" applyBorder="1"/>
    <xf numFmtId="0" fontId="4" fillId="0" borderId="3" xfId="0" applyFont="1" applyFill="1" applyBorder="1"/>
    <xf numFmtId="0" fontId="2" fillId="0" borderId="4" xfId="0" applyFont="1" applyBorder="1"/>
    <xf numFmtId="0" fontId="2" fillId="0" borderId="5" xfId="0" applyFont="1" applyFill="1" applyBorder="1"/>
    <xf numFmtId="0" fontId="0" fillId="0" borderId="0" xfId="0" applyNumberFormat="1"/>
    <xf numFmtId="164" fontId="3" fillId="7" borderId="32" xfId="0" applyNumberFormat="1" applyFont="1" applyFill="1" applyBorder="1" applyAlignment="1"/>
    <xf numFmtId="0" fontId="3" fillId="8" borderId="33" xfId="0" applyFont="1" applyFill="1" applyBorder="1"/>
    <xf numFmtId="0" fontId="3" fillId="8" borderId="28" xfId="0" applyFont="1" applyFill="1" applyBorder="1"/>
    <xf numFmtId="0" fontId="3" fillId="8" borderId="35" xfId="0" applyFont="1" applyFill="1" applyBorder="1"/>
    <xf numFmtId="0" fontId="8" fillId="7" borderId="25" xfId="0" applyFont="1" applyFill="1" applyBorder="1"/>
    <xf numFmtId="0" fontId="8" fillId="7" borderId="26" xfId="0" applyFont="1" applyFill="1" applyBorder="1"/>
    <xf numFmtId="0" fontId="8" fillId="7" borderId="27" xfId="0" applyFont="1" applyFill="1" applyBorder="1"/>
    <xf numFmtId="0" fontId="0" fillId="0" borderId="50" xfId="0" applyNumberFormat="1" applyBorder="1" applyAlignment="1">
      <alignment horizontal="left"/>
    </xf>
    <xf numFmtId="0" fontId="0" fillId="0" borderId="41" xfId="0" applyNumberFormat="1" applyBorder="1" applyAlignment="1">
      <alignment horizontal="left"/>
    </xf>
    <xf numFmtId="0" fontId="0" fillId="0" borderId="4" xfId="0" applyNumberFormat="1" applyBorder="1" applyAlignment="1">
      <alignment horizontal="left"/>
    </xf>
    <xf numFmtId="165" fontId="8" fillId="0" borderId="9" xfId="2" applyFont="1" applyBorder="1"/>
    <xf numFmtId="0" fontId="8" fillId="0" borderId="15" xfId="0" applyFont="1" applyBorder="1"/>
    <xf numFmtId="0" fontId="8" fillId="0" borderId="10" xfId="0" applyFont="1" applyBorder="1"/>
    <xf numFmtId="2" fontId="8" fillId="0" borderId="16" xfId="0" applyNumberFormat="1" applyFont="1" applyBorder="1"/>
    <xf numFmtId="165" fontId="0" fillId="0" borderId="0" xfId="0" applyNumberFormat="1"/>
    <xf numFmtId="165" fontId="8" fillId="0" borderId="24" xfId="0" applyNumberFormat="1" applyFont="1" applyBorder="1"/>
    <xf numFmtId="1" fontId="0" fillId="0" borderId="26" xfId="0" applyNumberFormat="1" applyBorder="1"/>
    <xf numFmtId="165" fontId="0" fillId="0" borderId="32" xfId="2" applyFont="1" applyBorder="1"/>
    <xf numFmtId="165" fontId="8" fillId="0" borderId="27" xfId="0" applyNumberFormat="1" applyFont="1" applyBorder="1"/>
    <xf numFmtId="0" fontId="8" fillId="0" borderId="25" xfId="0" applyFont="1" applyFill="1" applyBorder="1" applyAlignment="1">
      <alignment wrapText="1"/>
    </xf>
    <xf numFmtId="0" fontId="0" fillId="7" borderId="51" xfId="0" applyFill="1" applyBorder="1"/>
    <xf numFmtId="0" fontId="0" fillId="0" borderId="52" xfId="0" applyNumberFormat="1" applyBorder="1"/>
    <xf numFmtId="0" fontId="0" fillId="7" borderId="52" xfId="0" applyFill="1" applyBorder="1"/>
    <xf numFmtId="2" fontId="0" fillId="0" borderId="53" xfId="0" applyNumberFormat="1" applyBorder="1"/>
    <xf numFmtId="2" fontId="3" fillId="0" borderId="27" xfId="0" applyNumberFormat="1" applyFont="1" applyBorder="1"/>
    <xf numFmtId="2" fontId="0" fillId="6" borderId="31" xfId="0" applyNumberFormat="1" applyFill="1" applyBorder="1"/>
    <xf numFmtId="2" fontId="0" fillId="6" borderId="15" xfId="0" applyNumberFormat="1" applyFill="1" applyBorder="1"/>
    <xf numFmtId="2" fontId="0" fillId="0" borderId="15" xfId="0" applyNumberFormat="1" applyBorder="1"/>
    <xf numFmtId="2" fontId="0" fillId="5" borderId="15" xfId="0" applyNumberFormat="1" applyFont="1" applyFill="1" applyBorder="1" applyAlignment="1">
      <alignment vertical="center" wrapText="1"/>
    </xf>
    <xf numFmtId="2" fontId="0" fillId="5" borderId="16" xfId="0" applyNumberFormat="1" applyFill="1" applyBorder="1" applyAlignment="1">
      <alignment wrapText="1"/>
    </xf>
    <xf numFmtId="2" fontId="0" fillId="0" borderId="0" xfId="0" applyNumberFormat="1"/>
    <xf numFmtId="2" fontId="13" fillId="0" borderId="32" xfId="0" applyNumberFormat="1" applyFont="1" applyBorder="1"/>
    <xf numFmtId="2" fontId="0" fillId="6" borderId="32" xfId="0" applyNumberFormat="1" applyFont="1" applyFill="1" applyBorder="1" applyAlignment="1">
      <alignment vertical="center"/>
    </xf>
    <xf numFmtId="2" fontId="0" fillId="6" borderId="9" xfId="0" applyNumberFormat="1" applyFont="1" applyFill="1" applyBorder="1" applyAlignment="1">
      <alignment vertical="center"/>
    </xf>
    <xf numFmtId="2" fontId="0" fillId="5" borderId="9" xfId="0" applyNumberFormat="1" applyFill="1" applyBorder="1" applyAlignment="1">
      <alignment horizontal="right" vertical="top"/>
    </xf>
    <xf numFmtId="2" fontId="0" fillId="0" borderId="9" xfId="0" applyNumberFormat="1" applyBorder="1"/>
    <xf numFmtId="2" fontId="0" fillId="0" borderId="32" xfId="0" applyNumberFormat="1" applyBorder="1" applyAlignment="1">
      <alignment horizontal="right"/>
    </xf>
    <xf numFmtId="0" fontId="3" fillId="8" borderId="15" xfId="0" applyFont="1" applyFill="1" applyBorder="1" applyAlignment="1">
      <alignment horizontal="center"/>
    </xf>
    <xf numFmtId="0" fontId="0" fillId="0" borderId="16" xfId="1" applyNumberFormat="1" applyFont="1" applyBorder="1" applyAlignment="1">
      <alignment horizontal="center"/>
    </xf>
    <xf numFmtId="164" fontId="0" fillId="0" borderId="0" xfId="0" applyNumberFormat="1"/>
    <xf numFmtId="0" fontId="3" fillId="0" borderId="37" xfId="0" applyFont="1" applyFill="1" applyBorder="1"/>
    <xf numFmtId="0" fontId="3" fillId="0" borderId="9" xfId="0" applyFont="1" applyFill="1" applyBorder="1"/>
    <xf numFmtId="0" fontId="0" fillId="2" borderId="9" xfId="0" applyFill="1" applyBorder="1"/>
    <xf numFmtId="1" fontId="0" fillId="5" borderId="9" xfId="0" applyNumberFormat="1" applyFill="1" applyBorder="1" applyAlignment="1">
      <alignment horizontal="right"/>
    </xf>
    <xf numFmtId="165" fontId="0" fillId="5" borderId="32" xfId="2" applyFont="1" applyFill="1" applyBorder="1"/>
    <xf numFmtId="165" fontId="0" fillId="5" borderId="9" xfId="2" applyFont="1" applyFill="1" applyBorder="1"/>
    <xf numFmtId="2" fontId="0" fillId="9" borderId="0" xfId="0" applyNumberFormat="1" applyFill="1"/>
    <xf numFmtId="2" fontId="0" fillId="9" borderId="9" xfId="0" applyNumberFormat="1" applyFill="1" applyBorder="1" applyAlignment="1">
      <alignment horizontal="right" vertical="top"/>
    </xf>
    <xf numFmtId="0" fontId="0" fillId="9" borderId="9" xfId="0" applyFill="1" applyBorder="1" applyAlignment="1">
      <alignment horizontal="right"/>
    </xf>
    <xf numFmtId="0" fontId="0" fillId="10" borderId="15" xfId="0" applyFill="1" applyBorder="1"/>
    <xf numFmtId="0" fontId="16" fillId="10" borderId="15" xfId="0" applyFont="1" applyFill="1" applyBorder="1" applyAlignment="1">
      <alignment horizontal="right" vertical="center"/>
    </xf>
    <xf numFmtId="1" fontId="0" fillId="9" borderId="15" xfId="0" applyNumberFormat="1" applyFill="1" applyBorder="1"/>
    <xf numFmtId="0" fontId="0" fillId="10" borderId="0" xfId="0" applyFill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7" borderId="4" xfId="0" applyFill="1" applyBorder="1" applyAlignment="1">
      <alignment horizontal="left"/>
    </xf>
    <xf numFmtId="0" fontId="0" fillId="7" borderId="9" xfId="0" applyFill="1" applyBorder="1" applyAlignment="1">
      <alignment horizontal="left"/>
    </xf>
    <xf numFmtId="0" fontId="9" fillId="4" borderId="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0" fillId="0" borderId="5" xfId="1" applyNumberFormat="1" applyFont="1" applyBorder="1" applyAlignment="1">
      <alignment horizontal="center"/>
    </xf>
    <xf numFmtId="0" fontId="0" fillId="0" borderId="10" xfId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0" fillId="4" borderId="25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14" fillId="4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7" xfId="0" applyNumberFormat="1" applyFill="1" applyBorder="1" applyAlignment="1">
      <alignment horizontal="center" vertical="center"/>
    </xf>
    <xf numFmtId="1" fontId="0" fillId="4" borderId="12" xfId="0" applyNumberFormat="1" applyFill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48" xfId="0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3" borderId="37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2" fontId="0" fillId="5" borderId="24" xfId="0" applyNumberFormat="1" applyFont="1" applyFill="1" applyBorder="1" applyAlignment="1">
      <alignment horizontal="left" vertical="center" wrapText="1"/>
    </xf>
    <xf numFmtId="2" fontId="0" fillId="5" borderId="31" xfId="0" applyNumberFormat="1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</cellXfs>
  <cellStyles count="3">
    <cellStyle name="Currency 2" xfId="2" xr:uid="{00000000-0005-0000-0000-00000000000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645458</xdr:colOff>
      <xdr:row>24</xdr:row>
      <xdr:rowOff>62753</xdr:rowOff>
    </xdr:from>
    <xdr:to>
      <xdr:col>10</xdr:col>
      <xdr:colOff>1255058</xdr:colOff>
      <xdr:row>26</xdr:row>
      <xdr:rowOff>277905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 rot="10800000">
          <a:off x="14628158" y="5968253"/>
          <a:ext cx="609600" cy="58662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551328</xdr:colOff>
      <xdr:row>37</xdr:row>
      <xdr:rowOff>16249</xdr:rowOff>
    </xdr:from>
    <xdr:to>
      <xdr:col>11</xdr:col>
      <xdr:colOff>285750</xdr:colOff>
      <xdr:row>40</xdr:row>
      <xdr:rowOff>105894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flipH="1">
          <a:off x="14257803" y="10369924"/>
          <a:ext cx="344022" cy="6897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28575</xdr:colOff>
      <xdr:row>50</xdr:row>
      <xdr:rowOff>62752</xdr:rowOff>
    </xdr:from>
    <xdr:to>
      <xdr:col>11</xdr:col>
      <xdr:colOff>1681</xdr:colOff>
      <xdr:row>52</xdr:row>
      <xdr:rowOff>143433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 rot="10800000">
          <a:off x="13735050" y="13283452"/>
          <a:ext cx="582706" cy="61408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H32"/>
  <sheetViews>
    <sheetView workbookViewId="0">
      <selection activeCell="I15" sqref="I15"/>
    </sheetView>
  </sheetViews>
  <sheetFormatPr defaultRowHeight="14.4" x14ac:dyDescent="0.3"/>
  <cols>
    <col min="4" max="4" width="15.6640625" bestFit="1" customWidth="1"/>
    <col min="5" max="5" width="12.88671875" bestFit="1" customWidth="1"/>
    <col min="6" max="6" width="8.6640625" bestFit="1" customWidth="1"/>
    <col min="7" max="7" width="7" bestFit="1" customWidth="1"/>
  </cols>
  <sheetData>
    <row r="3" spans="4:8" ht="15" thickBot="1" x14ac:dyDescent="0.35"/>
    <row r="4" spans="4:8" ht="18" x14ac:dyDescent="0.35">
      <c r="D4" s="203" t="s">
        <v>0</v>
      </c>
      <c r="E4" s="204"/>
      <c r="F4" s="204"/>
      <c r="G4" s="205"/>
    </row>
    <row r="5" spans="4:8" ht="20.399999999999999" thickBot="1" x14ac:dyDescent="0.45">
      <c r="D5" s="1"/>
      <c r="E5" s="6">
        <v>2022</v>
      </c>
      <c r="F5" s="11"/>
      <c r="G5" s="17"/>
    </row>
    <row r="6" spans="4:8" x14ac:dyDescent="0.3">
      <c r="D6" s="2" t="s">
        <v>1</v>
      </c>
      <c r="E6" s="7" t="s">
        <v>2</v>
      </c>
      <c r="F6" s="7" t="s">
        <v>3</v>
      </c>
      <c r="G6" s="18" t="s">
        <v>4</v>
      </c>
    </row>
    <row r="7" spans="4:8" x14ac:dyDescent="0.3">
      <c r="D7" s="3" t="s">
        <v>5</v>
      </c>
      <c r="E7" s="8">
        <v>11148</v>
      </c>
      <c r="F7" s="12">
        <v>100000</v>
      </c>
      <c r="G7" s="19">
        <v>120000</v>
      </c>
    </row>
    <row r="8" spans="4:8" x14ac:dyDescent="0.3">
      <c r="D8" s="3" t="s">
        <v>6</v>
      </c>
      <c r="E8" s="8">
        <v>111410</v>
      </c>
      <c r="F8" s="13">
        <v>0.02</v>
      </c>
      <c r="G8" s="19">
        <f>G7*2%</f>
        <v>2400</v>
      </c>
    </row>
    <row r="9" spans="4:8" x14ac:dyDescent="0.3">
      <c r="D9" s="3" t="s">
        <v>7</v>
      </c>
      <c r="E9" s="8">
        <v>11411</v>
      </c>
      <c r="F9" s="13">
        <v>0.02</v>
      </c>
      <c r="G9" s="19">
        <f>(G7+G8)*2/100</f>
        <v>2448</v>
      </c>
    </row>
    <row r="10" spans="4:8" x14ac:dyDescent="0.3">
      <c r="D10" s="3" t="s">
        <v>8</v>
      </c>
      <c r="E10" s="8">
        <v>11146</v>
      </c>
      <c r="F10" s="13">
        <v>2.5000000000000001E-2</v>
      </c>
      <c r="G10" s="19">
        <f>(G7+G8+G9)*2%</f>
        <v>2496.96</v>
      </c>
    </row>
    <row r="11" spans="4:8" x14ac:dyDescent="0.3">
      <c r="D11" s="3" t="s">
        <v>9</v>
      </c>
      <c r="E11" s="8">
        <v>11143</v>
      </c>
      <c r="F11" s="13">
        <v>0.05</v>
      </c>
      <c r="G11" s="19">
        <f>(G7+G8+G9+G10)*5%</f>
        <v>6367.2480000000005</v>
      </c>
    </row>
    <row r="12" spans="4:8" x14ac:dyDescent="0.3">
      <c r="D12" s="3" t="s">
        <v>10</v>
      </c>
      <c r="E12" s="8">
        <v>11182</v>
      </c>
      <c r="F12" s="13">
        <v>0.05</v>
      </c>
      <c r="G12" s="19">
        <f>(G7+G8+G9+G10+G11)*5%</f>
        <v>6685.6104000000014</v>
      </c>
    </row>
    <row r="13" spans="4:8" x14ac:dyDescent="0.3">
      <c r="D13" s="3" t="s">
        <v>11</v>
      </c>
      <c r="E13" s="8">
        <v>11135</v>
      </c>
      <c r="F13" s="14">
        <v>2.5000000000000001E-2</v>
      </c>
      <c r="G13" s="201">
        <v>3885</v>
      </c>
      <c r="H13" s="202">
        <v>3510</v>
      </c>
    </row>
    <row r="14" spans="4:8" x14ac:dyDescent="0.3">
      <c r="D14" s="3" t="s">
        <v>12</v>
      </c>
      <c r="E14" s="8">
        <v>1151</v>
      </c>
      <c r="F14" s="15">
        <v>10000</v>
      </c>
      <c r="G14" s="19">
        <v>15000</v>
      </c>
    </row>
    <row r="15" spans="4:8" ht="15" thickBot="1" x14ac:dyDescent="0.35">
      <c r="D15" s="4" t="s">
        <v>4</v>
      </c>
      <c r="E15" s="9"/>
      <c r="F15" s="16"/>
      <c r="G15" s="20">
        <f>SUM(G7:G14)</f>
        <v>159282.81840000002</v>
      </c>
    </row>
    <row r="16" spans="4:8" ht="15" thickBot="1" x14ac:dyDescent="0.35">
      <c r="D16" s="5"/>
      <c r="E16" s="10"/>
      <c r="F16" s="10"/>
      <c r="G16" s="21"/>
    </row>
    <row r="19" spans="4:7" ht="15" thickBot="1" x14ac:dyDescent="0.35"/>
    <row r="20" spans="4:7" ht="18" x14ac:dyDescent="0.35">
      <c r="D20" s="203" t="s">
        <v>0</v>
      </c>
      <c r="E20" s="204"/>
      <c r="F20" s="204"/>
      <c r="G20" s="205"/>
    </row>
    <row r="21" spans="4:7" ht="20.399999999999999" thickBot="1" x14ac:dyDescent="0.45">
      <c r="D21" s="1"/>
      <c r="E21" s="6">
        <v>2021</v>
      </c>
      <c r="F21" s="11"/>
      <c r="G21" s="17"/>
    </row>
    <row r="22" spans="4:7" x14ac:dyDescent="0.3">
      <c r="D22" s="2" t="s">
        <v>1</v>
      </c>
      <c r="E22" s="7" t="s">
        <v>2</v>
      </c>
      <c r="F22" s="7" t="s">
        <v>3</v>
      </c>
      <c r="G22" s="18" t="s">
        <v>4</v>
      </c>
    </row>
    <row r="23" spans="4:7" x14ac:dyDescent="0.3">
      <c r="D23" s="3" t="s">
        <v>5</v>
      </c>
      <c r="E23" s="8">
        <v>11148</v>
      </c>
      <c r="F23" s="12">
        <v>80000</v>
      </c>
      <c r="G23" s="19">
        <v>80000</v>
      </c>
    </row>
    <row r="24" spans="4:7" x14ac:dyDescent="0.3">
      <c r="D24" s="3" t="s">
        <v>6</v>
      </c>
      <c r="E24" s="8">
        <v>111410</v>
      </c>
      <c r="F24" s="13">
        <v>0.02</v>
      </c>
      <c r="G24" s="19">
        <v>1600</v>
      </c>
    </row>
    <row r="25" spans="4:7" x14ac:dyDescent="0.3">
      <c r="D25" s="3" t="s">
        <v>7</v>
      </c>
      <c r="E25" s="8">
        <v>11411</v>
      </c>
      <c r="F25" s="13">
        <v>0.02</v>
      </c>
      <c r="G25" s="19">
        <f>(G23+G24)*2/100</f>
        <v>1632</v>
      </c>
    </row>
    <row r="26" spans="4:7" x14ac:dyDescent="0.3">
      <c r="D26" s="3" t="s">
        <v>8</v>
      </c>
      <c r="E26" s="8">
        <v>11146</v>
      </c>
      <c r="F26" s="13">
        <v>0.02</v>
      </c>
      <c r="G26" s="19">
        <v>1665</v>
      </c>
    </row>
    <row r="27" spans="4:7" x14ac:dyDescent="0.3">
      <c r="D27" s="3" t="s">
        <v>9</v>
      </c>
      <c r="E27" s="8">
        <v>11143</v>
      </c>
      <c r="F27" s="13">
        <v>0.05</v>
      </c>
      <c r="G27" s="19">
        <f>(G23+G24+G25+G26)*5%</f>
        <v>4244.8500000000004</v>
      </c>
    </row>
    <row r="28" spans="4:7" x14ac:dyDescent="0.3">
      <c r="D28" s="3" t="s">
        <v>10</v>
      </c>
      <c r="E28" s="8">
        <v>11182</v>
      </c>
      <c r="F28" s="13">
        <v>0.05</v>
      </c>
      <c r="G28" s="19">
        <v>4330</v>
      </c>
    </row>
    <row r="29" spans="4:7" x14ac:dyDescent="0.3">
      <c r="D29" s="3" t="s">
        <v>11</v>
      </c>
      <c r="E29" s="8">
        <v>11135</v>
      </c>
      <c r="F29" s="14">
        <v>2.5000000000000001E-2</v>
      </c>
      <c r="G29" s="19">
        <v>2274</v>
      </c>
    </row>
    <row r="30" spans="4:7" x14ac:dyDescent="0.3">
      <c r="D30" s="3" t="s">
        <v>12</v>
      </c>
      <c r="E30" s="8">
        <v>1151</v>
      </c>
      <c r="F30" s="15">
        <v>10000</v>
      </c>
      <c r="G30" s="19">
        <v>10000</v>
      </c>
    </row>
    <row r="31" spans="4:7" ht="15" thickBot="1" x14ac:dyDescent="0.35">
      <c r="D31" s="4" t="s">
        <v>4</v>
      </c>
      <c r="E31" s="9"/>
      <c r="F31" s="16"/>
      <c r="G31" s="20">
        <f>SUM(G23:G30)</f>
        <v>105745.85</v>
      </c>
    </row>
    <row r="32" spans="4:7" ht="15" thickBot="1" x14ac:dyDescent="0.35">
      <c r="D32" s="5"/>
      <c r="E32" s="10"/>
      <c r="F32" s="10"/>
      <c r="G32" s="21"/>
    </row>
  </sheetData>
  <mergeCells count="2">
    <mergeCell ref="D4:G4"/>
    <mergeCell ref="D20:G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1"/>
  <sheetViews>
    <sheetView tabSelected="1" zoomScale="70" zoomScaleNormal="70" workbookViewId="0">
      <selection activeCell="C13" sqref="C13"/>
    </sheetView>
  </sheetViews>
  <sheetFormatPr defaultRowHeight="14.4" x14ac:dyDescent="0.3"/>
  <cols>
    <col min="1" max="1" width="17.88671875" bestFit="1" customWidth="1"/>
    <col min="2" max="2" width="19.109375" customWidth="1"/>
    <col min="3" max="3" width="48.6640625" customWidth="1"/>
    <col min="5" max="5" width="46.44140625" customWidth="1"/>
    <col min="7" max="7" width="13.5546875" customWidth="1"/>
    <col min="8" max="8" width="23" bestFit="1" customWidth="1"/>
    <col min="9" max="9" width="17" bestFit="1" customWidth="1"/>
    <col min="10" max="10" width="29.5546875" customWidth="1"/>
    <col min="11" max="11" width="12.44140625" customWidth="1"/>
    <col min="12" max="12" width="28.88671875" bestFit="1" customWidth="1"/>
    <col min="13" max="13" width="12.5546875" customWidth="1"/>
    <col min="14" max="14" width="46.6640625" customWidth="1"/>
    <col min="15" max="15" width="14" bestFit="1" customWidth="1"/>
    <col min="16" max="16" width="16.44140625" bestFit="1" customWidth="1"/>
  </cols>
  <sheetData>
    <row r="1" spans="1:18" ht="15" thickBot="1" x14ac:dyDescent="0.35"/>
    <row r="2" spans="1:18" ht="15" thickBot="1" x14ac:dyDescent="0.35">
      <c r="A2" s="216" t="s">
        <v>28</v>
      </c>
      <c r="B2" s="217"/>
      <c r="C2" s="218"/>
      <c r="D2" s="22"/>
      <c r="E2" s="216" t="s">
        <v>29</v>
      </c>
      <c r="F2" s="217"/>
      <c r="G2" s="218"/>
      <c r="H2" s="22"/>
      <c r="I2" s="22"/>
      <c r="J2" s="22"/>
      <c r="K2" s="22"/>
      <c r="L2" s="55"/>
      <c r="M2" s="22"/>
      <c r="N2" s="22"/>
      <c r="O2" s="22"/>
      <c r="P2" s="22"/>
      <c r="Q2" s="22"/>
      <c r="R2" s="22"/>
    </row>
    <row r="3" spans="1:18" ht="16.2" thickBot="1" x14ac:dyDescent="0.35">
      <c r="A3" s="219"/>
      <c r="B3" s="220"/>
      <c r="C3" s="221"/>
      <c r="D3" s="22"/>
      <c r="E3" s="219"/>
      <c r="F3" s="220"/>
      <c r="G3" s="221"/>
      <c r="H3" s="206" t="s">
        <v>30</v>
      </c>
      <c r="I3" s="207"/>
      <c r="J3" s="208"/>
      <c r="K3" s="154" t="s">
        <v>31</v>
      </c>
      <c r="L3" s="155" t="s">
        <v>32</v>
      </c>
      <c r="M3" s="156" t="s">
        <v>17</v>
      </c>
      <c r="N3" s="22"/>
      <c r="O3" s="22"/>
      <c r="P3" s="22"/>
      <c r="Q3" s="22"/>
      <c r="R3" s="22"/>
    </row>
    <row r="4" spans="1:18" ht="15" customHeight="1" thickBot="1" x14ac:dyDescent="0.35">
      <c r="A4" s="209" t="s">
        <v>33</v>
      </c>
      <c r="B4" s="210"/>
      <c r="C4" s="211"/>
      <c r="D4" s="22"/>
      <c r="E4" s="209" t="s">
        <v>33</v>
      </c>
      <c r="F4" s="210"/>
      <c r="G4" s="210"/>
      <c r="H4" s="151" t="s">
        <v>34</v>
      </c>
      <c r="I4" s="152" t="s">
        <v>35</v>
      </c>
      <c r="J4" s="153" t="s">
        <v>36</v>
      </c>
      <c r="K4" s="157">
        <v>11121</v>
      </c>
      <c r="L4" s="93" t="s">
        <v>37</v>
      </c>
      <c r="M4" s="94">
        <f>J5*H5*100</f>
        <v>0</v>
      </c>
      <c r="N4" s="164">
        <f>G7*60%</f>
        <v>247.5</v>
      </c>
      <c r="O4" s="22"/>
      <c r="P4" s="22"/>
      <c r="Q4" s="22"/>
      <c r="R4" s="22"/>
    </row>
    <row r="5" spans="1:18" ht="15.75" customHeight="1" thickBot="1" x14ac:dyDescent="0.35">
      <c r="A5" s="212"/>
      <c r="B5" s="213"/>
      <c r="C5" s="56"/>
      <c r="D5" s="22"/>
      <c r="E5" s="214" t="s">
        <v>38</v>
      </c>
      <c r="F5" s="215"/>
      <c r="G5" s="150">
        <v>16500</v>
      </c>
      <c r="H5" s="83">
        <v>0</v>
      </c>
      <c r="I5" s="99">
        <v>8400</v>
      </c>
      <c r="J5" s="77">
        <v>432</v>
      </c>
      <c r="K5" s="158">
        <v>111412</v>
      </c>
      <c r="L5" s="25" t="s">
        <v>39</v>
      </c>
      <c r="M5" s="26">
        <f>M4*10%</f>
        <v>0</v>
      </c>
      <c r="N5" s="164">
        <f t="shared" ref="N5:N12" si="0">G8*60%</f>
        <v>6.1875</v>
      </c>
      <c r="O5" s="22"/>
      <c r="P5" s="22"/>
      <c r="Q5" s="22"/>
      <c r="R5" s="22"/>
    </row>
    <row r="6" spans="1:18" ht="15" thickBot="1" x14ac:dyDescent="0.35">
      <c r="A6" s="38" t="s">
        <v>15</v>
      </c>
      <c r="B6" s="39" t="s">
        <v>16</v>
      </c>
      <c r="C6" s="57" t="s">
        <v>17</v>
      </c>
      <c r="D6" s="22"/>
      <c r="E6" s="35" t="s">
        <v>15</v>
      </c>
      <c r="F6" s="72" t="s">
        <v>16</v>
      </c>
      <c r="G6" s="58" t="s">
        <v>17</v>
      </c>
      <c r="H6" s="22"/>
      <c r="I6" s="22"/>
      <c r="J6" s="22"/>
      <c r="K6" s="159">
        <v>1161</v>
      </c>
      <c r="L6" s="25">
        <v>20000</v>
      </c>
      <c r="M6" s="26">
        <v>20000</v>
      </c>
      <c r="N6" s="164">
        <v>1.5</v>
      </c>
      <c r="O6" s="22"/>
      <c r="P6" s="22"/>
      <c r="Q6" s="22"/>
      <c r="R6" s="22"/>
    </row>
    <row r="7" spans="1:18" ht="33" customHeight="1" x14ac:dyDescent="0.3">
      <c r="A7" s="59" t="s">
        <v>40</v>
      </c>
      <c r="B7" s="25">
        <v>11124</v>
      </c>
      <c r="C7" s="58" t="s">
        <v>41</v>
      </c>
      <c r="D7" s="22"/>
      <c r="E7" s="59" t="s">
        <v>42</v>
      </c>
      <c r="F7" s="72">
        <v>11124</v>
      </c>
      <c r="G7" s="167">
        <f>G5*2.5%</f>
        <v>412.5</v>
      </c>
      <c r="H7" s="222" t="s">
        <v>43</v>
      </c>
      <c r="I7" s="223"/>
      <c r="J7" s="224"/>
      <c r="K7" s="158">
        <v>1132</v>
      </c>
      <c r="L7" s="25">
        <v>5000</v>
      </c>
      <c r="M7" s="26">
        <v>5000</v>
      </c>
      <c r="N7" s="164">
        <f t="shared" si="0"/>
        <v>5.09415</v>
      </c>
      <c r="O7" s="22"/>
      <c r="P7" s="22"/>
      <c r="Q7" s="22"/>
      <c r="R7" s="22"/>
    </row>
    <row r="8" spans="1:18" ht="24.75" customHeight="1" x14ac:dyDescent="0.3">
      <c r="A8" s="60" t="s">
        <v>44</v>
      </c>
      <c r="B8" s="25">
        <v>11135</v>
      </c>
      <c r="C8" s="58" t="s">
        <v>45</v>
      </c>
      <c r="D8" s="22"/>
      <c r="E8" s="60" t="s">
        <v>19</v>
      </c>
      <c r="F8" s="72">
        <v>11135</v>
      </c>
      <c r="G8" s="167">
        <f>G7*2.5%</f>
        <v>10.3125</v>
      </c>
      <c r="H8" s="225" t="s">
        <v>46</v>
      </c>
      <c r="I8" s="226"/>
      <c r="J8" s="187" t="s">
        <v>47</v>
      </c>
      <c r="K8" s="158">
        <v>111410</v>
      </c>
      <c r="L8" s="25" t="s">
        <v>48</v>
      </c>
      <c r="M8" s="26">
        <f>SUM(M4:M7)*2%</f>
        <v>500</v>
      </c>
      <c r="N8" s="164">
        <f t="shared" si="0"/>
        <v>5.1960329999999999</v>
      </c>
      <c r="O8" s="22"/>
      <c r="P8" s="22"/>
      <c r="Q8" s="22"/>
      <c r="R8" s="22"/>
    </row>
    <row r="9" spans="1:18" ht="24.75" customHeight="1" thickBot="1" x14ac:dyDescent="0.35">
      <c r="A9" s="36" t="s">
        <v>12</v>
      </c>
      <c r="B9" s="61" t="s">
        <v>21</v>
      </c>
      <c r="C9" s="62" t="s">
        <v>49</v>
      </c>
      <c r="D9" s="22"/>
      <c r="E9" s="36" t="s">
        <v>20</v>
      </c>
      <c r="F9" s="193" t="s">
        <v>21</v>
      </c>
      <c r="G9" s="194">
        <v>1.7</v>
      </c>
      <c r="H9" s="227">
        <v>0</v>
      </c>
      <c r="I9" s="228"/>
      <c r="J9" s="188">
        <f>100-H9</f>
        <v>100</v>
      </c>
      <c r="K9" s="158">
        <v>111411</v>
      </c>
      <c r="L9" s="25" t="s">
        <v>48</v>
      </c>
      <c r="M9" s="26">
        <f>SUM(M4:M8)*2%</f>
        <v>510</v>
      </c>
      <c r="N9" s="164">
        <f t="shared" si="0"/>
        <v>26.499768299999999</v>
      </c>
      <c r="O9" s="22"/>
      <c r="P9" s="22"/>
      <c r="Q9" s="22"/>
      <c r="R9" s="22"/>
    </row>
    <row r="10" spans="1:18" ht="24.75" customHeight="1" x14ac:dyDescent="0.3">
      <c r="A10" s="60" t="s">
        <v>7</v>
      </c>
      <c r="B10" s="25">
        <v>111410</v>
      </c>
      <c r="C10" s="58" t="s">
        <v>50</v>
      </c>
      <c r="D10" s="22"/>
      <c r="E10" s="60" t="s">
        <v>22</v>
      </c>
      <c r="F10" s="72">
        <v>111410</v>
      </c>
      <c r="G10" s="58">
        <f>(G7+G8+G9)*2%</f>
        <v>8.4902499999999996</v>
      </c>
      <c r="H10" s="22"/>
      <c r="I10" s="22"/>
      <c r="J10" s="22"/>
      <c r="K10" s="159">
        <v>11146</v>
      </c>
      <c r="L10" s="25" t="s">
        <v>48</v>
      </c>
      <c r="M10" s="26">
        <f>SUM(M4:M9)*2%</f>
        <v>520.20000000000005</v>
      </c>
      <c r="N10" s="164">
        <f t="shared" si="0"/>
        <v>5.8299490259999995</v>
      </c>
      <c r="O10" s="22"/>
      <c r="P10" s="22"/>
      <c r="Q10" s="22"/>
      <c r="R10" s="22"/>
    </row>
    <row r="11" spans="1:18" ht="24.75" customHeight="1" x14ac:dyDescent="0.3">
      <c r="A11" s="60" t="s">
        <v>51</v>
      </c>
      <c r="B11" s="25">
        <v>111411</v>
      </c>
      <c r="C11" s="58" t="s">
        <v>50</v>
      </c>
      <c r="D11" s="22"/>
      <c r="E11" s="60" t="s">
        <v>23</v>
      </c>
      <c r="F11" s="72">
        <v>111411</v>
      </c>
      <c r="G11" s="58">
        <f>(G7+G8+G9+G10)*2%</f>
        <v>8.6600549999999998</v>
      </c>
      <c r="H11" s="164"/>
      <c r="I11" s="22"/>
      <c r="J11" s="22"/>
      <c r="K11" s="159">
        <v>11135</v>
      </c>
      <c r="L11" s="25" t="s">
        <v>52</v>
      </c>
      <c r="M11" s="26">
        <f>SUM(M4:M10)*2.5%</f>
        <v>663.25500000000011</v>
      </c>
      <c r="N11" s="164">
        <f t="shared" si="0"/>
        <v>14.866370016300001</v>
      </c>
      <c r="O11" s="22"/>
      <c r="P11" s="22"/>
      <c r="Q11" s="22"/>
      <c r="R11" s="22"/>
    </row>
    <row r="12" spans="1:18" ht="24.75" customHeight="1" x14ac:dyDescent="0.3">
      <c r="A12" s="63" t="s">
        <v>53</v>
      </c>
      <c r="B12" s="25">
        <v>111412</v>
      </c>
      <c r="C12" s="58" t="s">
        <v>54</v>
      </c>
      <c r="D12" s="22"/>
      <c r="E12" s="63" t="s">
        <v>24</v>
      </c>
      <c r="F12" s="72">
        <v>111412</v>
      </c>
      <c r="G12" s="58">
        <f>(G7+G8+G9+G10+G11)*10%</f>
        <v>44.166280499999999</v>
      </c>
      <c r="H12" s="189"/>
      <c r="I12" s="189"/>
      <c r="J12" s="22"/>
      <c r="K12" s="159" t="s">
        <v>21</v>
      </c>
      <c r="L12" s="25">
        <v>10000</v>
      </c>
      <c r="M12" s="26">
        <v>10000</v>
      </c>
      <c r="N12" s="164">
        <f t="shared" si="0"/>
        <v>15.609688517115</v>
      </c>
      <c r="O12" s="22"/>
      <c r="P12" s="22"/>
      <c r="Q12" s="22"/>
      <c r="R12" s="22"/>
    </row>
    <row r="13" spans="1:18" ht="24.75" customHeight="1" x14ac:dyDescent="0.3">
      <c r="A13" s="35" t="s">
        <v>25</v>
      </c>
      <c r="B13" s="25">
        <v>11146</v>
      </c>
      <c r="C13" s="58" t="s">
        <v>50</v>
      </c>
      <c r="D13" s="22"/>
      <c r="E13" s="60" t="s">
        <v>55</v>
      </c>
      <c r="F13" s="72">
        <v>11146</v>
      </c>
      <c r="G13" s="58">
        <f>(G7+G8+G9+G10+G11+G12)*2%</f>
        <v>9.7165817099999998</v>
      </c>
      <c r="H13" s="22"/>
      <c r="I13" s="22"/>
      <c r="J13" s="22"/>
      <c r="K13" s="159">
        <v>111413</v>
      </c>
      <c r="L13" s="25" t="s">
        <v>56</v>
      </c>
      <c r="M13" s="26">
        <f>SUM(M4:M12)*5%</f>
        <v>1859.6727500000002</v>
      </c>
      <c r="N13" s="164">
        <f>SUM(N4:N12)</f>
        <v>328.28345885941496</v>
      </c>
      <c r="O13" s="22"/>
      <c r="P13" s="22"/>
      <c r="Q13" s="22"/>
      <c r="R13" s="22"/>
    </row>
    <row r="14" spans="1:18" ht="24.75" customHeight="1" x14ac:dyDescent="0.3">
      <c r="A14" s="102" t="s">
        <v>26</v>
      </c>
      <c r="B14" s="103">
        <v>11143</v>
      </c>
      <c r="C14" s="58" t="s">
        <v>57</v>
      </c>
      <c r="D14" s="22"/>
      <c r="E14" s="102" t="s">
        <v>26</v>
      </c>
      <c r="F14" s="103">
        <v>11143</v>
      </c>
      <c r="G14" s="101">
        <f>(G7+G8+G9+G10+G11+G12+G13)*5%</f>
        <v>24.777283360500004</v>
      </c>
      <c r="H14" s="22"/>
      <c r="I14" s="22"/>
      <c r="J14" s="22"/>
      <c r="K14" s="159">
        <v>11182</v>
      </c>
      <c r="L14" s="25" t="s">
        <v>56</v>
      </c>
      <c r="M14" s="26">
        <f>SUM(M4:M13)*5%</f>
        <v>1952.6563875000002</v>
      </c>
      <c r="N14" s="164"/>
      <c r="O14" s="22"/>
      <c r="P14" s="22"/>
      <c r="Q14" s="22"/>
      <c r="R14" s="22"/>
    </row>
    <row r="15" spans="1:18" ht="24.75" customHeight="1" x14ac:dyDescent="0.3">
      <c r="A15" s="102" t="s">
        <v>10</v>
      </c>
      <c r="B15" s="103">
        <v>11182</v>
      </c>
      <c r="C15" s="58" t="s">
        <v>57</v>
      </c>
      <c r="D15" s="22"/>
      <c r="E15" s="102" t="s">
        <v>10</v>
      </c>
      <c r="F15" s="103">
        <v>11182</v>
      </c>
      <c r="G15" s="101">
        <f>(G7+G8+G9+G10+G11+G12+G13+G14)*5%</f>
        <v>26.016147528525</v>
      </c>
      <c r="H15" s="22"/>
      <c r="I15" s="22"/>
      <c r="J15" s="149"/>
      <c r="K15" s="35"/>
      <c r="L15" s="160" t="s">
        <v>58</v>
      </c>
      <c r="M15" s="161">
        <f>SUM(M4:M14)</f>
        <v>41005.784137499999</v>
      </c>
      <c r="N15" s="22"/>
      <c r="O15" s="22"/>
      <c r="P15" s="22"/>
      <c r="Q15" s="22"/>
      <c r="R15" s="22"/>
    </row>
    <row r="16" spans="1:18" ht="24.75" customHeight="1" thickBot="1" x14ac:dyDescent="0.35">
      <c r="A16" s="229" t="s">
        <v>27</v>
      </c>
      <c r="B16" s="230"/>
      <c r="C16" s="64"/>
      <c r="D16" s="22"/>
      <c r="E16" s="231" t="s">
        <v>27</v>
      </c>
      <c r="F16" s="232"/>
      <c r="G16" s="165">
        <f>SUM(G7:G15)</f>
        <v>546.33909809902502</v>
      </c>
      <c r="H16" s="22"/>
      <c r="I16" s="22"/>
      <c r="J16" s="22"/>
      <c r="K16" s="83"/>
      <c r="L16" s="162" t="s">
        <v>59</v>
      </c>
      <c r="M16" s="163">
        <f>M15/I5</f>
        <v>4.8816409687500002</v>
      </c>
      <c r="N16" s="22"/>
      <c r="O16" s="22"/>
      <c r="P16" s="22"/>
      <c r="Q16" s="22"/>
      <c r="R16" s="22"/>
    </row>
    <row r="17" spans="1:18" ht="24.75" customHeight="1" thickBot="1" x14ac:dyDescent="0.35">
      <c r="A17" s="22"/>
      <c r="B17" s="24"/>
      <c r="C17" s="24"/>
      <c r="D17" s="22"/>
      <c r="E17" s="169" t="s">
        <v>60</v>
      </c>
      <c r="F17" s="166"/>
      <c r="G17" s="168">
        <f>G16*J9%</f>
        <v>546.33909809902502</v>
      </c>
      <c r="H17" s="22"/>
      <c r="I17" s="22"/>
      <c r="J17" s="22"/>
      <c r="K17" s="22"/>
      <c r="L17" s="55"/>
      <c r="M17" s="22"/>
      <c r="N17" s="22"/>
      <c r="O17" s="22"/>
      <c r="P17" s="22"/>
      <c r="Q17" s="22"/>
      <c r="R17" s="22"/>
    </row>
    <row r="18" spans="1:18" ht="15" thickBot="1" x14ac:dyDescent="0.35">
      <c r="A18" s="22"/>
      <c r="B18" s="22"/>
      <c r="C18" s="22"/>
      <c r="D18" s="22"/>
      <c r="E18" s="98"/>
      <c r="F18" s="131"/>
      <c r="G18" s="98"/>
      <c r="H18" s="98"/>
      <c r="I18" s="98"/>
      <c r="J18" s="98"/>
      <c r="K18" s="98"/>
      <c r="L18" s="132"/>
      <c r="M18" s="98"/>
      <c r="N18" s="22"/>
      <c r="O18" s="22"/>
      <c r="P18" s="22"/>
      <c r="Q18" s="22"/>
      <c r="R18" s="22"/>
    </row>
    <row r="19" spans="1:18" ht="15" thickBot="1" x14ac:dyDescent="0.35">
      <c r="A19" s="233" t="s">
        <v>61</v>
      </c>
      <c r="B19" s="234"/>
      <c r="C19" s="235"/>
      <c r="D19" s="22"/>
      <c r="E19" s="239" t="s">
        <v>62</v>
      </c>
      <c r="F19" s="240"/>
      <c r="G19" s="240"/>
      <c r="H19" s="241"/>
      <c r="I19" s="129"/>
      <c r="J19" s="133" t="s">
        <v>63</v>
      </c>
      <c r="K19" s="134" t="s">
        <v>64</v>
      </c>
      <c r="L19" s="135" t="s">
        <v>65</v>
      </c>
      <c r="M19" s="22"/>
      <c r="N19" s="233" t="s">
        <v>13</v>
      </c>
      <c r="O19" s="234"/>
      <c r="P19" s="235"/>
      <c r="Q19" s="22"/>
      <c r="R19" s="22"/>
    </row>
    <row r="20" spans="1:18" ht="15" thickBot="1" x14ac:dyDescent="0.35">
      <c r="A20" s="236"/>
      <c r="B20" s="237"/>
      <c r="C20" s="238"/>
      <c r="D20" s="22"/>
      <c r="E20" s="119" t="s">
        <v>66</v>
      </c>
      <c r="F20" s="120" t="s">
        <v>67</v>
      </c>
      <c r="G20" s="121" t="s">
        <v>40</v>
      </c>
      <c r="H20" s="122"/>
      <c r="I20" s="98"/>
      <c r="J20" s="35" t="s">
        <v>68</v>
      </c>
      <c r="K20" s="35">
        <v>1</v>
      </c>
      <c r="L20" s="35"/>
      <c r="M20" s="22"/>
      <c r="N20" s="236"/>
      <c r="O20" s="237"/>
      <c r="P20" s="238"/>
      <c r="Q20" s="22"/>
      <c r="R20" s="22"/>
    </row>
    <row r="21" spans="1:18" ht="15" thickBot="1" x14ac:dyDescent="0.35">
      <c r="A21" s="242" t="s">
        <v>14</v>
      </c>
      <c r="B21" s="243"/>
      <c r="C21" s="244"/>
      <c r="D21" s="22"/>
      <c r="E21" s="245" t="s">
        <v>69</v>
      </c>
      <c r="F21" s="246"/>
      <c r="G21" s="247"/>
      <c r="H21" s="248"/>
      <c r="I21" s="130"/>
      <c r="J21" s="35" t="s">
        <v>70</v>
      </c>
      <c r="K21" s="25">
        <v>0</v>
      </c>
      <c r="L21" s="26">
        <f>IF((AND(K23&lt;&gt;"Yes",K21/K20&gt;=864)),2000*K20,IF((AND(K23&lt;&gt;"Yes",K21/K20&gt;432,K21/K20&lt;864)),1000*K20,IF((AND(K23&lt;&gt;"Yes",K21/K20&gt;0,K21/K20&lt;=432)),500*K20,IF((AND(K23="Yes",K21&gt;0)),1500,0))))</f>
        <v>0</v>
      </c>
      <c r="M21" s="22"/>
      <c r="N21" s="242" t="s">
        <v>14</v>
      </c>
      <c r="O21" s="243"/>
      <c r="P21" s="244"/>
      <c r="Q21" s="22"/>
      <c r="R21" s="22"/>
    </row>
    <row r="22" spans="1:18" x14ac:dyDescent="0.3">
      <c r="A22" s="38" t="s">
        <v>15</v>
      </c>
      <c r="B22" s="39" t="s">
        <v>16</v>
      </c>
      <c r="C22" s="57" t="s">
        <v>17</v>
      </c>
      <c r="D22" s="22"/>
      <c r="E22" s="115" t="s">
        <v>71</v>
      </c>
      <c r="F22" s="25" t="s">
        <v>72</v>
      </c>
      <c r="G22" s="94">
        <v>100</v>
      </c>
      <c r="H22" s="94" t="s">
        <v>73</v>
      </c>
      <c r="I22" s="23"/>
      <c r="J22" s="35" t="s">
        <v>74</v>
      </c>
      <c r="K22" s="25">
        <v>864</v>
      </c>
      <c r="L22" s="26">
        <f>IF(K22-K21&lt;=0,0,IF((AND(K22-K21&gt;S24,K22-K21&lt;=S25)),100,IF((AND(K22-K21&gt;S25,K22-K21&lt;=S26)),200,IF((AND(K22-K21&gt;S26,K22-K21&lt;=S27)),300,IF((AND(K22-K21&gt;S27,K22-K21&lt;=S28)),400,IF((AND(K22-K21&gt;S28,K22-K21&lt;=S29)),500,IF((AND(K22-K21&gt;S29,K22-K21&lt;=S30)),600,IF((AND(K22-K21&gt;S30,K22-K21&lt;=S31)),700,IF((AND(K22-K21&gt;S31,K22-K21&lt;=S32)),800,IF((AND(K22-K21&gt;S32,K22-K21&lt;=S33)),900,IF((AND(K22-K21&gt;S33,K22-K21&lt;=S34)),1000,IF(K22-K21=S29,300,IF(K22-K21=S34,500,1300)))))))))))))</f>
        <v>1300</v>
      </c>
      <c r="M22" s="22"/>
      <c r="N22" s="38" t="s">
        <v>15</v>
      </c>
      <c r="O22" s="39" t="s">
        <v>16</v>
      </c>
      <c r="P22" s="57" t="s">
        <v>17</v>
      </c>
      <c r="Q22" s="22"/>
      <c r="R22" s="22"/>
    </row>
    <row r="23" spans="1:18" ht="24.75" customHeight="1" x14ac:dyDescent="0.3">
      <c r="A23" s="40" t="s">
        <v>40</v>
      </c>
      <c r="B23" s="25">
        <v>11124</v>
      </c>
      <c r="C23" s="58" t="s">
        <v>75</v>
      </c>
      <c r="D23" s="22"/>
      <c r="E23" s="91" t="s">
        <v>71</v>
      </c>
      <c r="F23" s="25">
        <v>864</v>
      </c>
      <c r="G23" s="26">
        <v>200</v>
      </c>
      <c r="H23" s="26" t="s">
        <v>73</v>
      </c>
      <c r="I23" s="23"/>
      <c r="J23" s="35" t="s">
        <v>76</v>
      </c>
      <c r="K23" s="25" t="s">
        <v>77</v>
      </c>
      <c r="L23" s="26"/>
      <c r="M23" s="22"/>
      <c r="N23" s="65" t="s">
        <v>18</v>
      </c>
      <c r="O23" s="66">
        <v>11124</v>
      </c>
      <c r="P23" s="67">
        <f>L24</f>
        <v>1300</v>
      </c>
      <c r="Q23" s="22"/>
      <c r="R23" s="22"/>
    </row>
    <row r="24" spans="1:18" ht="24.75" customHeight="1" thickBot="1" x14ac:dyDescent="0.35">
      <c r="A24" s="60" t="s">
        <v>44</v>
      </c>
      <c r="B24" s="25">
        <v>11135</v>
      </c>
      <c r="C24" s="58" t="s">
        <v>45</v>
      </c>
      <c r="D24" s="22"/>
      <c r="E24" s="91" t="s">
        <v>71</v>
      </c>
      <c r="F24" s="25">
        <v>1297</v>
      </c>
      <c r="G24" s="26">
        <v>300</v>
      </c>
      <c r="H24" s="26" t="s">
        <v>73</v>
      </c>
      <c r="I24" s="23"/>
      <c r="J24" s="123" t="s">
        <v>78</v>
      </c>
      <c r="K24" s="124"/>
      <c r="L24" s="136">
        <f>L22+L21</f>
        <v>1300</v>
      </c>
      <c r="M24" s="22"/>
      <c r="N24" s="60" t="s">
        <v>19</v>
      </c>
      <c r="O24" s="25">
        <v>11135</v>
      </c>
      <c r="P24" s="68">
        <f>P23*2.5%</f>
        <v>32.5</v>
      </c>
      <c r="Q24" s="22"/>
      <c r="R24" s="22"/>
    </row>
    <row r="25" spans="1:18" ht="24.75" customHeight="1" x14ac:dyDescent="0.3">
      <c r="A25" s="36" t="s">
        <v>12</v>
      </c>
      <c r="B25" s="61" t="s">
        <v>21</v>
      </c>
      <c r="C25" s="62" t="s">
        <v>49</v>
      </c>
      <c r="D25" s="22"/>
      <c r="E25" s="91" t="s">
        <v>71</v>
      </c>
      <c r="F25" s="25">
        <v>1728</v>
      </c>
      <c r="G25" s="26">
        <v>400</v>
      </c>
      <c r="H25" s="26" t="s">
        <v>73</v>
      </c>
      <c r="I25" s="23"/>
      <c r="J25" s="22"/>
      <c r="K25" s="22"/>
      <c r="L25" s="22"/>
      <c r="M25" s="22"/>
      <c r="N25" s="36" t="s">
        <v>20</v>
      </c>
      <c r="O25" s="61" t="s">
        <v>21</v>
      </c>
      <c r="P25" s="195">
        <v>1.7</v>
      </c>
      <c r="Q25" s="22"/>
      <c r="R25" s="22"/>
    </row>
    <row r="26" spans="1:18" ht="24.75" customHeight="1" thickBot="1" x14ac:dyDescent="0.35">
      <c r="A26" s="60" t="s">
        <v>7</v>
      </c>
      <c r="B26" s="25">
        <v>111410</v>
      </c>
      <c r="C26" s="58" t="s">
        <v>50</v>
      </c>
      <c r="D26" s="22"/>
      <c r="E26" s="114" t="s">
        <v>71</v>
      </c>
      <c r="F26" s="25">
        <v>2160</v>
      </c>
      <c r="G26" s="77">
        <v>300</v>
      </c>
      <c r="H26" s="77" t="s">
        <v>73</v>
      </c>
      <c r="I26" s="23"/>
      <c r="J26" s="22"/>
      <c r="K26" s="22"/>
      <c r="L26" s="22"/>
      <c r="M26" s="22"/>
      <c r="N26" s="60" t="s">
        <v>22</v>
      </c>
      <c r="O26" s="25">
        <v>111410</v>
      </c>
      <c r="P26" s="69">
        <f>(P23+P24+P25)*2%</f>
        <v>26.684000000000001</v>
      </c>
      <c r="Q26" s="22"/>
      <c r="R26" s="22"/>
    </row>
    <row r="27" spans="1:18" ht="24.75" customHeight="1" thickBot="1" x14ac:dyDescent="0.35">
      <c r="A27" s="60" t="s">
        <v>51</v>
      </c>
      <c r="B27" s="25">
        <v>111411</v>
      </c>
      <c r="C27" s="58" t="s">
        <v>50</v>
      </c>
      <c r="D27" s="22"/>
      <c r="E27" s="114" t="s">
        <v>71</v>
      </c>
      <c r="F27" s="25">
        <v>2592</v>
      </c>
      <c r="G27" s="142">
        <v>600</v>
      </c>
      <c r="H27" s="77" t="s">
        <v>73</v>
      </c>
      <c r="I27" s="128"/>
      <c r="J27" s="128"/>
      <c r="K27" s="128"/>
      <c r="L27" s="128"/>
      <c r="M27" s="22"/>
      <c r="N27" s="60" t="s">
        <v>23</v>
      </c>
      <c r="O27" s="25">
        <v>111411</v>
      </c>
      <c r="P27" s="68">
        <f>(P23+P24+P25+P26)*2%</f>
        <v>27.217680000000001</v>
      </c>
      <c r="Q27" s="22"/>
      <c r="R27" s="22"/>
    </row>
    <row r="28" spans="1:18" ht="24.75" customHeight="1" thickBot="1" x14ac:dyDescent="0.35">
      <c r="A28" s="63" t="s">
        <v>53</v>
      </c>
      <c r="B28" s="25">
        <v>111412</v>
      </c>
      <c r="C28" s="58" t="s">
        <v>54</v>
      </c>
      <c r="D28" s="22"/>
      <c r="E28" s="114" t="s">
        <v>71</v>
      </c>
      <c r="F28" s="25">
        <v>3026</v>
      </c>
      <c r="G28" s="142">
        <v>700</v>
      </c>
      <c r="H28" s="77" t="s">
        <v>73</v>
      </c>
      <c r="I28" s="23"/>
      <c r="J28" s="23"/>
      <c r="K28" s="249" t="s">
        <v>79</v>
      </c>
      <c r="L28" s="23"/>
      <c r="M28" s="22"/>
      <c r="N28" s="63" t="s">
        <v>24</v>
      </c>
      <c r="O28" s="25">
        <v>111412</v>
      </c>
      <c r="P28" s="68">
        <f>(P23+P24+P25+P26+P27)*10%</f>
        <v>138.810168</v>
      </c>
      <c r="Q28" s="22"/>
      <c r="R28" s="22"/>
    </row>
    <row r="29" spans="1:18" ht="24.75" customHeight="1" thickBot="1" x14ac:dyDescent="0.35">
      <c r="A29" s="35" t="s">
        <v>25</v>
      </c>
      <c r="B29" s="25">
        <v>11146</v>
      </c>
      <c r="C29" s="58" t="s">
        <v>50</v>
      </c>
      <c r="D29" s="22"/>
      <c r="E29" s="114" t="s">
        <v>71</v>
      </c>
      <c r="F29" s="25">
        <v>3456</v>
      </c>
      <c r="G29" s="142">
        <v>800</v>
      </c>
      <c r="H29" s="77" t="s">
        <v>73</v>
      </c>
      <c r="I29" s="23"/>
      <c r="J29" s="23"/>
      <c r="K29" s="249"/>
      <c r="L29" s="23"/>
      <c r="M29" s="22"/>
      <c r="N29" s="35" t="s">
        <v>25</v>
      </c>
      <c r="O29" s="25">
        <v>11146</v>
      </c>
      <c r="P29" s="70">
        <f>(P23+P24+P25+P26+P27+P28)*2%</f>
        <v>30.538236959999999</v>
      </c>
      <c r="Q29" s="22"/>
      <c r="R29" s="22"/>
    </row>
    <row r="30" spans="1:18" ht="24.75" customHeight="1" thickBot="1" x14ac:dyDescent="0.4">
      <c r="A30" s="102" t="s">
        <v>26</v>
      </c>
      <c r="B30" s="103">
        <v>11143</v>
      </c>
      <c r="C30" s="58" t="s">
        <v>57</v>
      </c>
      <c r="D30" s="22"/>
      <c r="E30" s="114" t="s">
        <v>71</v>
      </c>
      <c r="F30" s="25">
        <v>3888</v>
      </c>
      <c r="G30" s="142">
        <v>900</v>
      </c>
      <c r="H30" s="77" t="s">
        <v>73</v>
      </c>
      <c r="I30" s="23"/>
      <c r="J30" s="250" t="s">
        <v>80</v>
      </c>
      <c r="K30" s="251"/>
      <c r="L30" s="251"/>
      <c r="M30" s="252"/>
      <c r="N30" s="143" t="s">
        <v>26</v>
      </c>
      <c r="O30" s="103">
        <v>11143</v>
      </c>
      <c r="P30" s="101">
        <f>SUM(P23:P29)*5/100</f>
        <v>77.872504247999998</v>
      </c>
      <c r="Q30" s="22"/>
      <c r="R30" s="22"/>
    </row>
    <row r="31" spans="1:18" ht="24.75" customHeight="1" thickBot="1" x14ac:dyDescent="0.35">
      <c r="A31" s="102" t="s">
        <v>10</v>
      </c>
      <c r="B31" s="103">
        <v>11182</v>
      </c>
      <c r="C31" s="58" t="s">
        <v>57</v>
      </c>
      <c r="D31" s="22"/>
      <c r="E31" s="114" t="s">
        <v>71</v>
      </c>
      <c r="F31" s="25">
        <v>4320</v>
      </c>
      <c r="G31" s="142">
        <v>500</v>
      </c>
      <c r="H31" s="77" t="s">
        <v>73</v>
      </c>
      <c r="I31" s="23"/>
      <c r="J31" s="144" t="s">
        <v>81</v>
      </c>
      <c r="K31" s="79"/>
      <c r="L31" s="79"/>
      <c r="M31" s="145"/>
      <c r="N31" s="143" t="s">
        <v>10</v>
      </c>
      <c r="O31" s="103">
        <v>11182</v>
      </c>
      <c r="P31" s="101">
        <f>SUM(P23:P30)*5/100</f>
        <v>81.766129460399995</v>
      </c>
      <c r="Q31" s="22"/>
      <c r="R31" s="22"/>
    </row>
    <row r="32" spans="1:18" ht="24.75" customHeight="1" thickBot="1" x14ac:dyDescent="0.35">
      <c r="A32" s="253" t="s">
        <v>27</v>
      </c>
      <c r="B32" s="254"/>
      <c r="C32" s="255"/>
      <c r="D32" s="22"/>
      <c r="E32" s="256" t="s">
        <v>82</v>
      </c>
      <c r="F32" s="257"/>
      <c r="G32" s="258"/>
      <c r="H32" s="259"/>
      <c r="I32" s="22"/>
      <c r="J32" s="147" t="s">
        <v>83</v>
      </c>
      <c r="K32" s="79"/>
      <c r="L32" s="79"/>
      <c r="M32" s="145"/>
      <c r="N32" s="260" t="s">
        <v>27</v>
      </c>
      <c r="O32" s="261"/>
      <c r="P32" s="71">
        <f>SUM(P23:P31)</f>
        <v>1717.0887186683999</v>
      </c>
      <c r="Q32" s="22"/>
      <c r="R32" s="22"/>
    </row>
    <row r="33" spans="1:18" ht="24.75" customHeight="1" thickBot="1" x14ac:dyDescent="0.35">
      <c r="A33" s="96"/>
      <c r="B33" s="96"/>
      <c r="C33" s="96"/>
      <c r="D33" s="22"/>
      <c r="E33" s="116" t="s">
        <v>70</v>
      </c>
      <c r="F33" s="117" t="s">
        <v>84</v>
      </c>
      <c r="G33" s="117">
        <v>500</v>
      </c>
      <c r="H33" s="76" t="s">
        <v>73</v>
      </c>
      <c r="I33" s="33"/>
      <c r="J33" s="262" t="s">
        <v>85</v>
      </c>
      <c r="K33" s="263"/>
      <c r="L33" s="263"/>
      <c r="M33" s="264"/>
      <c r="N33" s="23"/>
      <c r="O33" s="23"/>
      <c r="P33" s="22"/>
      <c r="Q33" s="22"/>
      <c r="R33" s="22"/>
    </row>
    <row r="34" spans="1:18" ht="24.75" customHeight="1" thickBot="1" x14ac:dyDescent="0.35">
      <c r="A34" s="96"/>
      <c r="B34" s="96"/>
      <c r="C34" s="96"/>
      <c r="D34" s="22"/>
      <c r="E34" s="116" t="s">
        <v>70</v>
      </c>
      <c r="F34" s="78" t="s">
        <v>86</v>
      </c>
      <c r="G34" s="78">
        <v>1000</v>
      </c>
      <c r="H34" s="26" t="s">
        <v>73</v>
      </c>
      <c r="I34" s="22"/>
      <c r="J34" s="33"/>
      <c r="K34" s="33"/>
      <c r="L34" s="33"/>
      <c r="M34" s="22"/>
      <c r="N34" s="22"/>
      <c r="O34" s="22"/>
      <c r="P34" s="22"/>
      <c r="Q34" s="22"/>
      <c r="R34" s="22"/>
    </row>
    <row r="35" spans="1:18" ht="24.75" customHeight="1" thickBot="1" x14ac:dyDescent="0.45">
      <c r="A35" s="96"/>
      <c r="B35" s="96"/>
      <c r="C35" s="96"/>
      <c r="D35" s="22"/>
      <c r="E35" s="116" t="s">
        <v>87</v>
      </c>
      <c r="F35" s="118" t="s">
        <v>88</v>
      </c>
      <c r="G35" s="118">
        <v>2000</v>
      </c>
      <c r="H35" s="77" t="s">
        <v>73</v>
      </c>
      <c r="I35" s="22"/>
      <c r="J35" s="33"/>
      <c r="K35" s="33"/>
      <c r="L35" s="97"/>
      <c r="M35" s="22"/>
      <c r="N35" s="22"/>
      <c r="O35" s="22"/>
      <c r="P35" s="22"/>
      <c r="Q35" s="22"/>
      <c r="R35" s="22"/>
    </row>
    <row r="36" spans="1:18" ht="24.75" customHeight="1" thickBot="1" x14ac:dyDescent="0.35">
      <c r="A36" s="96"/>
      <c r="B36" s="96"/>
      <c r="C36" s="96"/>
      <c r="D36" s="22"/>
      <c r="E36" s="125" t="s">
        <v>89</v>
      </c>
      <c r="F36" s="126" t="s">
        <v>90</v>
      </c>
      <c r="G36" s="127">
        <v>1500</v>
      </c>
      <c r="H36" s="77" t="s">
        <v>73</v>
      </c>
      <c r="I36" s="22"/>
      <c r="J36" s="33"/>
      <c r="K36" s="33"/>
      <c r="L36" s="97"/>
      <c r="M36" s="22"/>
      <c r="N36" s="22"/>
      <c r="O36" s="22"/>
      <c r="P36" s="22"/>
      <c r="Q36" s="22"/>
      <c r="R36" s="22"/>
    </row>
    <row r="37" spans="1:18" ht="15.6" x14ac:dyDescent="0.3">
      <c r="A37" s="96"/>
      <c r="B37" s="96"/>
      <c r="C37" s="96"/>
      <c r="D37" s="22"/>
      <c r="E37" s="22"/>
      <c r="F37" s="73"/>
      <c r="G37" s="22"/>
      <c r="H37" s="22"/>
      <c r="I37" s="22"/>
      <c r="J37" s="33"/>
      <c r="K37" s="33"/>
      <c r="L37" s="97"/>
      <c r="M37" s="22"/>
      <c r="N37" s="22"/>
      <c r="O37" s="22"/>
      <c r="P37" s="22"/>
      <c r="Q37" s="22"/>
      <c r="R37" s="22"/>
    </row>
    <row r="38" spans="1:18" ht="15.6" x14ac:dyDescent="0.3">
      <c r="A38" s="96"/>
      <c r="B38" s="96"/>
      <c r="C38" s="96"/>
      <c r="D38" s="22"/>
      <c r="E38" s="22"/>
      <c r="F38" s="73"/>
      <c r="G38" s="22"/>
      <c r="H38" s="22"/>
      <c r="I38" s="22"/>
      <c r="J38" s="33"/>
      <c r="K38" s="33"/>
      <c r="L38" s="97"/>
      <c r="M38" s="22"/>
      <c r="N38" s="22"/>
      <c r="O38" s="22"/>
      <c r="P38" s="22"/>
      <c r="Q38" s="22"/>
      <c r="R38" s="22"/>
    </row>
    <row r="39" spans="1:18" ht="15.6" x14ac:dyDescent="0.3">
      <c r="A39" s="96"/>
      <c r="B39" s="96"/>
      <c r="C39" s="96"/>
      <c r="D39" s="22"/>
      <c r="E39" s="74"/>
      <c r="F39" s="89"/>
      <c r="G39" s="74"/>
      <c r="H39" s="90"/>
      <c r="I39" s="22"/>
      <c r="J39" s="33"/>
      <c r="K39" s="33"/>
      <c r="L39" s="97"/>
      <c r="M39" s="22"/>
      <c r="N39" s="22"/>
      <c r="O39" s="22"/>
      <c r="P39" s="22"/>
      <c r="Q39" s="22"/>
      <c r="R39" s="22"/>
    </row>
    <row r="40" spans="1:18" ht="15.6" x14ac:dyDescent="0.3">
      <c r="A40" s="96"/>
      <c r="B40" s="96"/>
      <c r="C40" s="96"/>
      <c r="D40" s="22"/>
      <c r="E40" s="74"/>
      <c r="F40" s="89"/>
      <c r="G40" s="74"/>
      <c r="H40" s="90"/>
      <c r="I40" s="22"/>
      <c r="J40" s="33"/>
      <c r="K40" s="33"/>
      <c r="L40" s="97"/>
      <c r="M40" s="22"/>
      <c r="N40" s="22"/>
      <c r="O40" s="22"/>
      <c r="P40" s="22"/>
      <c r="Q40" s="22"/>
      <c r="R40" s="22"/>
    </row>
    <row r="41" spans="1:18" ht="16.2" thickBot="1" x14ac:dyDescent="0.35">
      <c r="A41" s="22"/>
      <c r="B41" s="24"/>
      <c r="C41" s="24"/>
      <c r="D41" s="22"/>
      <c r="E41" s="74"/>
      <c r="F41" s="75"/>
      <c r="G41" s="74"/>
      <c r="H41" s="90"/>
      <c r="I41" s="22"/>
      <c r="J41" s="22"/>
      <c r="K41" s="22"/>
      <c r="L41" s="55"/>
      <c r="M41" s="22"/>
      <c r="N41" s="22"/>
      <c r="O41" s="22"/>
      <c r="P41" s="22"/>
      <c r="Q41" s="22"/>
      <c r="R41" s="22"/>
    </row>
    <row r="42" spans="1:18" ht="15" thickBot="1" x14ac:dyDescent="0.35">
      <c r="A42" s="22"/>
      <c r="B42" s="22"/>
      <c r="C42" s="22"/>
      <c r="D42" s="22"/>
      <c r="E42" s="22"/>
      <c r="F42" s="73"/>
      <c r="G42" s="22"/>
      <c r="H42" s="22"/>
      <c r="I42" s="22"/>
      <c r="J42" s="265" t="s">
        <v>91</v>
      </c>
      <c r="K42" s="266"/>
      <c r="L42" s="267"/>
      <c r="M42" s="22"/>
      <c r="N42" s="22"/>
      <c r="O42" s="22"/>
      <c r="P42" s="22"/>
      <c r="Q42" s="22"/>
      <c r="R42" s="22"/>
    </row>
    <row r="43" spans="1:18" ht="15" thickBot="1" x14ac:dyDescent="0.35">
      <c r="A43" s="233" t="s">
        <v>92</v>
      </c>
      <c r="B43" s="234"/>
      <c r="C43" s="235"/>
      <c r="D43" s="22"/>
      <c r="E43" s="268" t="s">
        <v>93</v>
      </c>
      <c r="F43" s="269"/>
      <c r="G43" s="269"/>
      <c r="H43" s="270"/>
      <c r="I43" s="22"/>
      <c r="J43" s="137"/>
      <c r="K43" s="138" t="s">
        <v>64</v>
      </c>
      <c r="L43" s="139" t="s">
        <v>65</v>
      </c>
      <c r="M43" s="22"/>
      <c r="N43" s="271" t="s">
        <v>94</v>
      </c>
      <c r="O43" s="272"/>
      <c r="P43" s="273"/>
      <c r="Q43" s="22"/>
      <c r="R43" s="22"/>
    </row>
    <row r="44" spans="1:18" ht="15" thickBot="1" x14ac:dyDescent="0.35">
      <c r="A44" s="236"/>
      <c r="B44" s="237"/>
      <c r="C44" s="238"/>
      <c r="D44" s="22"/>
      <c r="E44" s="81" t="s">
        <v>66</v>
      </c>
      <c r="F44" s="80" t="s">
        <v>95</v>
      </c>
      <c r="G44" s="80" t="s">
        <v>96</v>
      </c>
      <c r="H44" s="82"/>
      <c r="I44" s="22"/>
      <c r="J44" s="140" t="s">
        <v>68</v>
      </c>
      <c r="K44" s="141">
        <v>1</v>
      </c>
      <c r="L44" s="76"/>
      <c r="M44" s="22"/>
      <c r="N44" s="274"/>
      <c r="O44" s="275"/>
      <c r="P44" s="276"/>
      <c r="Q44" s="22"/>
      <c r="R44" s="22"/>
    </row>
    <row r="45" spans="1:18" ht="15" thickBot="1" x14ac:dyDescent="0.35">
      <c r="A45" s="242"/>
      <c r="B45" s="243"/>
      <c r="C45" s="244"/>
      <c r="D45" s="22"/>
      <c r="E45" s="35" t="s">
        <v>97</v>
      </c>
      <c r="F45" s="25" t="s">
        <v>98</v>
      </c>
      <c r="G45" s="25">
        <v>50</v>
      </c>
      <c r="H45" s="26" t="s">
        <v>73</v>
      </c>
      <c r="I45" s="22"/>
      <c r="J45" s="35" t="s">
        <v>99</v>
      </c>
      <c r="K45" s="25">
        <v>1</v>
      </c>
      <c r="L45" s="26"/>
      <c r="M45" s="22"/>
      <c r="N45" s="286" t="s">
        <v>100</v>
      </c>
      <c r="O45" s="287"/>
      <c r="P45" s="288"/>
      <c r="Q45" s="22"/>
      <c r="R45" s="22"/>
    </row>
    <row r="46" spans="1:18" x14ac:dyDescent="0.3">
      <c r="A46" s="38" t="s">
        <v>15</v>
      </c>
      <c r="B46" s="39" t="s">
        <v>16</v>
      </c>
      <c r="C46" s="57" t="s">
        <v>17</v>
      </c>
      <c r="D46" s="22"/>
      <c r="E46" s="35" t="s">
        <v>97</v>
      </c>
      <c r="F46" s="25" t="s">
        <v>101</v>
      </c>
      <c r="G46" s="25">
        <v>100</v>
      </c>
      <c r="H46" s="26" t="s">
        <v>73</v>
      </c>
      <c r="I46" s="22"/>
      <c r="J46" s="35" t="s">
        <v>70</v>
      </c>
      <c r="K46" s="25">
        <v>0</v>
      </c>
      <c r="L46" s="26">
        <f>IF((AND(K46&gt;0,K49="No",K45=1)),300*K44,IF((AND(K46&gt;0,K49="No",K45&gt;1)),600*K44,IF((AND(K46&gt;0,K49="Yes")),400,0)))</f>
        <v>0</v>
      </c>
      <c r="M46" s="22"/>
      <c r="N46" s="104" t="s">
        <v>15</v>
      </c>
      <c r="O46" s="105" t="s">
        <v>16</v>
      </c>
      <c r="P46" s="106" t="s">
        <v>17</v>
      </c>
      <c r="Q46" s="22"/>
      <c r="R46" s="22"/>
    </row>
    <row r="47" spans="1:18" ht="21" customHeight="1" x14ac:dyDescent="0.3">
      <c r="A47" s="40" t="s">
        <v>40</v>
      </c>
      <c r="B47" s="25">
        <v>11124</v>
      </c>
      <c r="C47" s="58" t="s">
        <v>75</v>
      </c>
      <c r="D47" s="22"/>
      <c r="E47" s="35" t="s">
        <v>102</v>
      </c>
      <c r="F47" s="25" t="s">
        <v>103</v>
      </c>
      <c r="G47" s="25">
        <v>300</v>
      </c>
      <c r="H47" s="26" t="s">
        <v>73</v>
      </c>
      <c r="I47" s="22"/>
      <c r="J47" s="35" t="s">
        <v>74</v>
      </c>
      <c r="K47" s="25">
        <v>432</v>
      </c>
      <c r="L47" s="26">
        <f>IF(K47=0,0,IF((AND(K47&gt;0,K47&gt;64)),100,IF((AND(K47&gt;0,K47&lt;=64)),50,0)))</f>
        <v>100</v>
      </c>
      <c r="M47" s="22"/>
      <c r="N47" s="107" t="s">
        <v>104</v>
      </c>
      <c r="O47" s="66">
        <v>11124</v>
      </c>
      <c r="P47" s="108">
        <f>L50</f>
        <v>100</v>
      </c>
      <c r="Q47" s="22"/>
      <c r="R47" s="22"/>
    </row>
    <row r="48" spans="1:18" ht="21" customHeight="1" x14ac:dyDescent="0.3">
      <c r="A48" s="60" t="s">
        <v>44</v>
      </c>
      <c r="B48" s="25">
        <v>11135</v>
      </c>
      <c r="C48" s="58" t="s">
        <v>45</v>
      </c>
      <c r="D48" s="22"/>
      <c r="E48" s="35" t="s">
        <v>105</v>
      </c>
      <c r="F48" s="25" t="s">
        <v>103</v>
      </c>
      <c r="G48" s="25">
        <v>600</v>
      </c>
      <c r="H48" s="26" t="s">
        <v>73</v>
      </c>
      <c r="I48" s="22"/>
      <c r="J48" s="35" t="s">
        <v>106</v>
      </c>
      <c r="K48" s="25" t="s">
        <v>77</v>
      </c>
      <c r="L48" s="26">
        <f>IF((AND(K48="Yes",K46=0)),200,0)</f>
        <v>0</v>
      </c>
      <c r="M48" s="22"/>
      <c r="N48" s="60" t="s">
        <v>19</v>
      </c>
      <c r="O48" s="25">
        <v>11135</v>
      </c>
      <c r="P48" s="58">
        <f>P47*2.5%</f>
        <v>2.5</v>
      </c>
      <c r="Q48" s="22"/>
      <c r="R48" s="22"/>
    </row>
    <row r="49" spans="1:18" ht="21" customHeight="1" x14ac:dyDescent="0.3">
      <c r="A49" s="36" t="s">
        <v>12</v>
      </c>
      <c r="B49" s="61" t="s">
        <v>21</v>
      </c>
      <c r="C49" s="62" t="s">
        <v>49</v>
      </c>
      <c r="D49" s="22"/>
      <c r="E49" s="35" t="s">
        <v>106</v>
      </c>
      <c r="F49" s="25" t="s">
        <v>103</v>
      </c>
      <c r="G49" s="78">
        <v>200</v>
      </c>
      <c r="H49" s="26" t="s">
        <v>73</v>
      </c>
      <c r="I49" s="22"/>
      <c r="J49" s="35" t="s">
        <v>76</v>
      </c>
      <c r="K49" s="25" t="s">
        <v>77</v>
      </c>
      <c r="L49" s="26"/>
      <c r="M49" s="22"/>
      <c r="N49" s="36" t="s">
        <v>20</v>
      </c>
      <c r="O49" s="61" t="s">
        <v>21</v>
      </c>
      <c r="P49" s="62">
        <v>1.7</v>
      </c>
      <c r="Q49" s="22"/>
      <c r="R49" s="22"/>
    </row>
    <row r="50" spans="1:18" ht="21" customHeight="1" thickBot="1" x14ac:dyDescent="0.35">
      <c r="A50" s="60" t="s">
        <v>7</v>
      </c>
      <c r="B50" s="25">
        <v>111410</v>
      </c>
      <c r="C50" s="58" t="s">
        <v>50</v>
      </c>
      <c r="D50" s="22"/>
      <c r="E50" s="83" t="s">
        <v>76</v>
      </c>
      <c r="F50" s="84" t="s">
        <v>103</v>
      </c>
      <c r="G50" s="84">
        <v>400</v>
      </c>
      <c r="H50" s="77" t="s">
        <v>73</v>
      </c>
      <c r="I50" s="22"/>
      <c r="J50" s="123" t="s">
        <v>78</v>
      </c>
      <c r="K50" s="124"/>
      <c r="L50" s="136">
        <f>L49+L48+L47+L46</f>
        <v>100</v>
      </c>
      <c r="M50" s="22"/>
      <c r="N50" s="60" t="s">
        <v>22</v>
      </c>
      <c r="O50" s="25">
        <v>111410</v>
      </c>
      <c r="P50" s="109">
        <f>(P47+P48+P49)*2%</f>
        <v>2.0840000000000001</v>
      </c>
      <c r="Q50" s="22"/>
      <c r="R50" s="22"/>
    </row>
    <row r="51" spans="1:18" ht="21" customHeight="1" x14ac:dyDescent="0.3">
      <c r="A51" s="60" t="s">
        <v>51</v>
      </c>
      <c r="B51" s="25">
        <v>111411</v>
      </c>
      <c r="C51" s="58" t="s">
        <v>50</v>
      </c>
      <c r="D51" s="22"/>
      <c r="E51" s="22"/>
      <c r="F51" s="73"/>
      <c r="G51" s="22"/>
      <c r="H51" s="22"/>
      <c r="I51" s="22"/>
      <c r="J51" s="22"/>
      <c r="K51" s="22"/>
      <c r="L51" s="22"/>
      <c r="M51" s="22"/>
      <c r="N51" s="60" t="s">
        <v>23</v>
      </c>
      <c r="O51" s="25">
        <v>111411</v>
      </c>
      <c r="P51" s="58">
        <f>(P47+P48+P49+P50)*2%</f>
        <v>2.12568</v>
      </c>
      <c r="Q51" s="22"/>
      <c r="R51" s="22"/>
    </row>
    <row r="52" spans="1:18" ht="21" customHeight="1" x14ac:dyDescent="0.3">
      <c r="A52" s="63" t="s">
        <v>53</v>
      </c>
      <c r="B52" s="25">
        <v>111412</v>
      </c>
      <c r="C52" s="58" t="s">
        <v>54</v>
      </c>
      <c r="D52" s="22"/>
      <c r="E52" s="22"/>
      <c r="F52" s="73"/>
      <c r="G52" s="22"/>
      <c r="H52" s="22"/>
      <c r="I52" s="22"/>
      <c r="J52" s="22"/>
      <c r="K52" s="22"/>
      <c r="L52" s="22"/>
      <c r="M52" s="22"/>
      <c r="N52" s="63" t="s">
        <v>24</v>
      </c>
      <c r="O52" s="25">
        <v>111412</v>
      </c>
      <c r="P52" s="58">
        <f>(P47+P48+P49+P50+P51)*10%</f>
        <v>10.840968000000002</v>
      </c>
      <c r="Q52" s="22"/>
      <c r="R52" s="22"/>
    </row>
    <row r="53" spans="1:18" ht="21" customHeight="1" x14ac:dyDescent="0.3">
      <c r="A53" s="35" t="s">
        <v>25</v>
      </c>
      <c r="B53" s="25">
        <v>11146</v>
      </c>
      <c r="C53" s="58" t="s">
        <v>50</v>
      </c>
      <c r="D53" s="22"/>
      <c r="E53" s="22"/>
      <c r="F53" s="73"/>
      <c r="G53" s="22"/>
      <c r="H53" s="22"/>
      <c r="I53" s="22"/>
      <c r="J53" s="22"/>
      <c r="K53" s="22"/>
      <c r="L53" s="22"/>
      <c r="M53" s="22"/>
      <c r="N53" s="35" t="s">
        <v>25</v>
      </c>
      <c r="O53" s="25">
        <v>11146</v>
      </c>
      <c r="P53" s="58">
        <f>(P47+P48+P49+P50+P51+P52)*2%</f>
        <v>2.3850129600000005</v>
      </c>
      <c r="Q53" s="22"/>
      <c r="R53" s="22"/>
    </row>
    <row r="54" spans="1:18" ht="21" customHeight="1" x14ac:dyDescent="0.3">
      <c r="A54" s="102" t="s">
        <v>26</v>
      </c>
      <c r="B54" s="103">
        <v>11143</v>
      </c>
      <c r="C54" s="58" t="s">
        <v>57</v>
      </c>
      <c r="D54" s="22"/>
      <c r="E54" s="22"/>
      <c r="F54" s="73"/>
      <c r="G54" s="22"/>
      <c r="H54" s="22"/>
      <c r="I54" s="22"/>
      <c r="J54" s="95"/>
      <c r="K54" s="249" t="s">
        <v>79</v>
      </c>
      <c r="L54" s="22"/>
      <c r="M54" s="22"/>
      <c r="N54" s="60" t="s">
        <v>26</v>
      </c>
      <c r="O54" s="72">
        <v>11143</v>
      </c>
      <c r="P54" s="101">
        <f>SUM(P47:P53)*5/100</f>
        <v>6.081783048000001</v>
      </c>
      <c r="Q54" s="22"/>
      <c r="R54" s="22"/>
    </row>
    <row r="55" spans="1:18" ht="21" customHeight="1" x14ac:dyDescent="0.3">
      <c r="A55" s="102" t="s">
        <v>10</v>
      </c>
      <c r="B55" s="103">
        <v>11182</v>
      </c>
      <c r="C55" s="58" t="s">
        <v>57</v>
      </c>
      <c r="D55" s="22"/>
      <c r="E55" s="22"/>
      <c r="F55" s="73"/>
      <c r="G55" s="22"/>
      <c r="H55" s="22"/>
      <c r="I55" s="22"/>
      <c r="J55" s="22"/>
      <c r="K55" s="249"/>
      <c r="L55" s="22"/>
      <c r="M55" s="22"/>
      <c r="N55" s="60" t="s">
        <v>10</v>
      </c>
      <c r="O55" s="72">
        <v>11182</v>
      </c>
      <c r="P55" s="101">
        <f>SUM(P47:P54)*5/100</f>
        <v>6.3858722004000006</v>
      </c>
      <c r="Q55" s="22"/>
      <c r="R55" s="22"/>
    </row>
    <row r="56" spans="1:18" ht="16.2" thickBot="1" x14ac:dyDescent="0.35">
      <c r="A56" s="253" t="s">
        <v>27</v>
      </c>
      <c r="B56" s="254"/>
      <c r="C56" s="255"/>
      <c r="D56" s="22"/>
      <c r="E56" s="22"/>
      <c r="F56" s="73"/>
      <c r="G56" s="22"/>
      <c r="H56" s="22"/>
      <c r="I56" s="22"/>
      <c r="J56" s="22"/>
      <c r="K56" s="22"/>
      <c r="L56" s="22"/>
      <c r="M56" s="22"/>
      <c r="N56" s="289" t="s">
        <v>27</v>
      </c>
      <c r="O56" s="290"/>
      <c r="P56" s="64">
        <f>SUM(P47:P55)</f>
        <v>134.1033162084</v>
      </c>
      <c r="Q56" s="22"/>
      <c r="R56" s="22"/>
    </row>
    <row r="57" spans="1:18" ht="18" x14ac:dyDescent="0.35">
      <c r="A57" s="22"/>
      <c r="B57" s="22"/>
      <c r="C57" s="22"/>
      <c r="D57" s="22"/>
      <c r="E57" s="22"/>
      <c r="F57" s="73"/>
      <c r="G57" s="22"/>
      <c r="H57" s="22"/>
      <c r="I57" s="22"/>
      <c r="J57" s="146" t="s">
        <v>80</v>
      </c>
      <c r="K57" s="141"/>
      <c r="L57" s="141"/>
      <c r="M57" s="76"/>
      <c r="N57" s="22"/>
      <c r="O57" s="22"/>
      <c r="P57" s="22"/>
      <c r="Q57" s="22"/>
      <c r="R57" s="22"/>
    </row>
    <row r="58" spans="1:18" x14ac:dyDescent="0.3">
      <c r="A58" s="22"/>
      <c r="B58" s="22"/>
      <c r="C58" s="22"/>
      <c r="D58" s="22"/>
      <c r="E58" s="22"/>
      <c r="F58" s="73"/>
      <c r="G58" s="22"/>
      <c r="H58" s="22"/>
      <c r="I58" s="22"/>
      <c r="J58" s="144" t="s">
        <v>81</v>
      </c>
      <c r="K58" s="25"/>
      <c r="L58" s="25"/>
      <c r="M58" s="26"/>
      <c r="N58" s="22"/>
      <c r="O58" s="22"/>
      <c r="P58" s="22"/>
      <c r="Q58" s="22"/>
      <c r="R58" s="22"/>
    </row>
    <row r="59" spans="1:18" x14ac:dyDescent="0.3">
      <c r="A59" s="22"/>
      <c r="B59" s="22"/>
      <c r="C59" s="22"/>
      <c r="D59" s="22"/>
      <c r="E59" s="22"/>
      <c r="F59" s="73"/>
      <c r="G59" s="22"/>
      <c r="H59" s="22"/>
      <c r="I59" s="22"/>
      <c r="J59" s="147" t="s">
        <v>83</v>
      </c>
      <c r="K59" s="25"/>
      <c r="L59" s="25"/>
      <c r="M59" s="26"/>
      <c r="N59" s="22"/>
      <c r="O59" s="22"/>
      <c r="P59" s="22"/>
      <c r="Q59" s="22"/>
      <c r="R59" s="22"/>
    </row>
    <row r="60" spans="1:18" ht="15" thickBot="1" x14ac:dyDescent="0.35">
      <c r="A60" s="22"/>
      <c r="B60" s="22"/>
      <c r="C60" s="22"/>
      <c r="D60" s="22"/>
      <c r="E60" s="22"/>
      <c r="F60" s="73"/>
      <c r="G60" s="22"/>
      <c r="H60" s="22"/>
      <c r="I60" s="22"/>
      <c r="J60" s="148" t="s">
        <v>107</v>
      </c>
      <c r="K60" s="84"/>
      <c r="L60" s="84"/>
      <c r="M60" s="77"/>
      <c r="N60" s="22"/>
      <c r="O60" s="22"/>
      <c r="P60" s="22"/>
      <c r="Q60" s="22"/>
      <c r="R60" s="22"/>
    </row>
    <row r="61" spans="1:18" x14ac:dyDescent="0.3">
      <c r="A61" s="22"/>
      <c r="B61" s="22"/>
      <c r="C61" s="22"/>
      <c r="D61" s="22"/>
      <c r="E61" s="22"/>
      <c r="F61" s="7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18" x14ac:dyDescent="0.3">
      <c r="A62" s="22"/>
      <c r="B62" s="22"/>
      <c r="C62" s="22"/>
      <c r="D62" s="22"/>
      <c r="E62" s="22"/>
      <c r="F62" s="73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</row>
    <row r="69" spans="2:9" ht="15" thickBot="1" x14ac:dyDescent="0.35">
      <c r="B69" s="22"/>
      <c r="C69" s="113" t="s">
        <v>108</v>
      </c>
      <c r="D69" s="22"/>
      <c r="E69" s="22"/>
      <c r="F69" s="73"/>
      <c r="G69" s="113" t="s">
        <v>108</v>
      </c>
      <c r="H69" s="22"/>
      <c r="I69" s="22"/>
    </row>
    <row r="70" spans="2:9" ht="15" thickBot="1" x14ac:dyDescent="0.35">
      <c r="B70" s="277" t="s">
        <v>109</v>
      </c>
      <c r="C70" s="278"/>
      <c r="D70" s="278"/>
      <c r="E70" s="279"/>
      <c r="F70" s="73"/>
      <c r="G70" s="280" t="s">
        <v>62</v>
      </c>
      <c r="H70" s="281"/>
      <c r="I70" s="282"/>
    </row>
    <row r="71" spans="2:9" ht="15" thickBot="1" x14ac:dyDescent="0.35">
      <c r="B71" s="81" t="s">
        <v>66</v>
      </c>
      <c r="C71" s="80" t="s">
        <v>95</v>
      </c>
      <c r="D71" s="80" t="s">
        <v>96</v>
      </c>
      <c r="E71" s="82"/>
      <c r="F71" s="73"/>
      <c r="G71" s="283" t="s">
        <v>110</v>
      </c>
      <c r="H71" s="284"/>
      <c r="I71" s="285"/>
    </row>
    <row r="72" spans="2:9" ht="25.5" customHeight="1" x14ac:dyDescent="0.3">
      <c r="B72" s="35" t="s">
        <v>69</v>
      </c>
      <c r="C72" s="25" t="s">
        <v>111</v>
      </c>
      <c r="D72" s="25">
        <v>50</v>
      </c>
      <c r="E72" s="26" t="s">
        <v>73</v>
      </c>
      <c r="F72" s="73"/>
      <c r="G72" s="85" t="s">
        <v>71</v>
      </c>
      <c r="H72" s="23" t="s">
        <v>112</v>
      </c>
      <c r="I72" s="34">
        <v>100</v>
      </c>
    </row>
    <row r="73" spans="2:9" ht="25.5" customHeight="1" x14ac:dyDescent="0.3">
      <c r="B73" s="35" t="s">
        <v>113</v>
      </c>
      <c r="C73" s="25" t="s">
        <v>114</v>
      </c>
      <c r="D73" s="25">
        <v>100</v>
      </c>
      <c r="E73" s="26" t="s">
        <v>73</v>
      </c>
      <c r="F73" s="73"/>
      <c r="G73" s="85" t="s">
        <v>71</v>
      </c>
      <c r="H73" s="23" t="s">
        <v>115</v>
      </c>
      <c r="I73" s="34">
        <v>300</v>
      </c>
    </row>
    <row r="74" spans="2:9" ht="25.5" customHeight="1" x14ac:dyDescent="0.3">
      <c r="B74" s="35" t="s">
        <v>116</v>
      </c>
      <c r="C74" s="25" t="s">
        <v>111</v>
      </c>
      <c r="D74" s="25">
        <v>200</v>
      </c>
      <c r="E74" s="26" t="s">
        <v>73</v>
      </c>
      <c r="F74" s="73"/>
      <c r="G74" s="85" t="s">
        <v>71</v>
      </c>
      <c r="H74" s="23" t="s">
        <v>117</v>
      </c>
      <c r="I74" s="34">
        <v>600</v>
      </c>
    </row>
    <row r="75" spans="2:9" ht="25.5" customHeight="1" x14ac:dyDescent="0.3">
      <c r="B75" s="35" t="s">
        <v>116</v>
      </c>
      <c r="C75" s="25" t="s">
        <v>118</v>
      </c>
      <c r="D75" s="25">
        <v>300</v>
      </c>
      <c r="E75" s="26" t="s">
        <v>73</v>
      </c>
      <c r="F75" s="73"/>
      <c r="G75" s="85" t="s">
        <v>71</v>
      </c>
      <c r="H75" s="23" t="s">
        <v>119</v>
      </c>
      <c r="I75" s="34">
        <v>1000</v>
      </c>
    </row>
    <row r="76" spans="2:9" ht="25.5" customHeight="1" x14ac:dyDescent="0.3">
      <c r="B76" s="35" t="s">
        <v>120</v>
      </c>
      <c r="C76" s="25" t="s">
        <v>111</v>
      </c>
      <c r="D76" s="25">
        <v>400</v>
      </c>
      <c r="E76" s="26" t="s">
        <v>73</v>
      </c>
      <c r="F76" s="73"/>
      <c r="G76" s="85" t="s">
        <v>71</v>
      </c>
      <c r="H76" s="23" t="s">
        <v>121</v>
      </c>
      <c r="I76" s="34">
        <v>1300</v>
      </c>
    </row>
    <row r="77" spans="2:9" ht="25.5" customHeight="1" x14ac:dyDescent="0.3">
      <c r="B77" s="35" t="s">
        <v>122</v>
      </c>
      <c r="C77" s="25" t="s">
        <v>111</v>
      </c>
      <c r="D77" s="25">
        <v>600</v>
      </c>
      <c r="E77" s="26" t="s">
        <v>73</v>
      </c>
      <c r="F77" s="73"/>
      <c r="G77" s="85" t="s">
        <v>71</v>
      </c>
      <c r="H77" s="23" t="s">
        <v>123</v>
      </c>
      <c r="I77" s="34">
        <v>1500</v>
      </c>
    </row>
    <row r="78" spans="2:9" ht="25.5" customHeight="1" thickBot="1" x14ac:dyDescent="0.35">
      <c r="B78" s="83" t="s">
        <v>124</v>
      </c>
      <c r="C78" s="84" t="s">
        <v>114</v>
      </c>
      <c r="D78" s="84">
        <v>600</v>
      </c>
      <c r="E78" s="77" t="s">
        <v>73</v>
      </c>
      <c r="F78" s="73"/>
      <c r="G78" s="85" t="s">
        <v>125</v>
      </c>
      <c r="H78" s="23" t="s">
        <v>126</v>
      </c>
      <c r="I78" s="34">
        <v>500</v>
      </c>
    </row>
    <row r="79" spans="2:9" ht="25.5" customHeight="1" x14ac:dyDescent="0.3">
      <c r="B79" s="22"/>
      <c r="C79" s="22"/>
      <c r="D79" s="22"/>
      <c r="E79" s="22"/>
      <c r="F79" s="73"/>
      <c r="G79" s="85" t="s">
        <v>127</v>
      </c>
      <c r="H79" s="23" t="s">
        <v>128</v>
      </c>
      <c r="I79" s="34">
        <v>1000</v>
      </c>
    </row>
    <row r="80" spans="2:9" ht="25.5" customHeight="1" thickBot="1" x14ac:dyDescent="0.35">
      <c r="B80" s="22"/>
      <c r="C80" s="22"/>
      <c r="D80" s="22"/>
      <c r="E80" s="22"/>
      <c r="F80" s="73"/>
      <c r="G80" s="86" t="s">
        <v>129</v>
      </c>
      <c r="H80" s="87" t="s">
        <v>130</v>
      </c>
      <c r="I80" s="88">
        <v>2000</v>
      </c>
    </row>
    <row r="81" ht="25.5" customHeight="1" x14ac:dyDescent="0.3"/>
  </sheetData>
  <mergeCells count="36">
    <mergeCell ref="B70:E70"/>
    <mergeCell ref="G70:I70"/>
    <mergeCell ref="G71:I71"/>
    <mergeCell ref="A45:C45"/>
    <mergeCell ref="N45:P45"/>
    <mergeCell ref="K54:K55"/>
    <mergeCell ref="A56:C56"/>
    <mergeCell ref="N56:O56"/>
    <mergeCell ref="J33:M33"/>
    <mergeCell ref="J42:L42"/>
    <mergeCell ref="A43:C44"/>
    <mergeCell ref="E43:H43"/>
    <mergeCell ref="N43:P44"/>
    <mergeCell ref="K28:K29"/>
    <mergeCell ref="J30:M30"/>
    <mergeCell ref="A32:C32"/>
    <mergeCell ref="E32:H32"/>
    <mergeCell ref="N32:O32"/>
    <mergeCell ref="A19:C20"/>
    <mergeCell ref="E19:H19"/>
    <mergeCell ref="N19:P20"/>
    <mergeCell ref="A21:C21"/>
    <mergeCell ref="E21:H21"/>
    <mergeCell ref="N21:P21"/>
    <mergeCell ref="H7:J7"/>
    <mergeCell ref="H8:I8"/>
    <mergeCell ref="H9:I9"/>
    <mergeCell ref="A16:B16"/>
    <mergeCell ref="E16:F16"/>
    <mergeCell ref="H3:J3"/>
    <mergeCell ref="A4:C4"/>
    <mergeCell ref="E4:G4"/>
    <mergeCell ref="A5:B5"/>
    <mergeCell ref="E5:F5"/>
    <mergeCell ref="A2:C3"/>
    <mergeCell ref="E2:G3"/>
  </mergeCells>
  <dataValidations count="5">
    <dataValidation type="list" allowBlank="1" showInputMessage="1" showErrorMessage="1" sqref="K20" xr:uid="{00000000-0002-0000-0100-000000000000}">
      <formula1>$U$23:$U$46</formula1>
    </dataValidation>
    <dataValidation type="list" showInputMessage="1" showErrorMessage="1" sqref="K44" xr:uid="{00000000-0002-0000-0100-000001000000}">
      <formula1>$U$23:$U$46</formula1>
    </dataValidation>
    <dataValidation type="list" showInputMessage="1" showErrorMessage="1" sqref="K45" xr:uid="{00000000-0002-0000-0100-000002000000}">
      <formula1>$V$23:$V$32</formula1>
    </dataValidation>
    <dataValidation type="list" showInputMessage="1" showErrorMessage="1" sqref="K48" xr:uid="{00000000-0002-0000-0100-000003000000}">
      <formula1>$T$23:$T$24</formula1>
    </dataValidation>
    <dataValidation type="list" showInputMessage="1" showErrorMessage="1" errorTitle="Enter Valid down town Value" error="Enter 'Yes' or 'No'" sqref="K49 K23" xr:uid="{00000000-0002-0000-0100-000004000000}">
      <formula1>$T$23:$T$24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topLeftCell="A42" workbookViewId="0">
      <selection activeCell="D21" sqref="D21"/>
    </sheetView>
  </sheetViews>
  <sheetFormatPr defaultRowHeight="14.4" x14ac:dyDescent="0.3"/>
  <cols>
    <col min="1" max="1" width="21.109375" bestFit="1" customWidth="1"/>
    <col min="3" max="3" width="22" bestFit="1" customWidth="1"/>
    <col min="4" max="4" width="34" customWidth="1"/>
    <col min="5" max="5" width="30.44140625" customWidth="1"/>
    <col min="6" max="6" width="20.44140625" customWidth="1"/>
  </cols>
  <sheetData>
    <row r="1" spans="1:13" x14ac:dyDescent="0.3">
      <c r="A1" s="291" t="s">
        <v>131</v>
      </c>
      <c r="B1" s="292"/>
      <c r="C1" s="292"/>
      <c r="D1" s="292"/>
      <c r="E1" s="293"/>
      <c r="F1" s="22"/>
      <c r="G1" s="22"/>
      <c r="H1" s="22"/>
      <c r="I1" s="22"/>
      <c r="J1" s="22"/>
      <c r="K1" s="22"/>
      <c r="L1" s="22"/>
      <c r="M1" s="22"/>
    </row>
    <row r="2" spans="1:13" ht="15" thickBot="1" x14ac:dyDescent="0.35">
      <c r="A2" s="294"/>
      <c r="B2" s="295"/>
      <c r="C2" s="295"/>
      <c r="D2" s="295"/>
      <c r="E2" s="296"/>
      <c r="F2" s="22"/>
      <c r="G2" s="22"/>
      <c r="H2" s="22"/>
      <c r="I2" s="22"/>
      <c r="J2" s="22"/>
      <c r="K2" s="22"/>
      <c r="L2" s="22"/>
      <c r="M2" s="22"/>
    </row>
    <row r="3" spans="1:13" ht="15" thickBot="1" x14ac:dyDescent="0.35">
      <c r="A3" s="52" t="s">
        <v>132</v>
      </c>
      <c r="B3" s="53" t="s">
        <v>133</v>
      </c>
      <c r="C3" s="54" t="s">
        <v>134</v>
      </c>
      <c r="D3" s="174" t="s">
        <v>135</v>
      </c>
      <c r="E3" s="190" t="s">
        <v>136</v>
      </c>
      <c r="F3" s="191" t="s">
        <v>137</v>
      </c>
      <c r="G3" s="22"/>
      <c r="H3" s="22"/>
      <c r="I3" s="22"/>
      <c r="J3" s="22"/>
      <c r="K3" s="22">
        <v>1500</v>
      </c>
      <c r="L3" s="22"/>
      <c r="M3" s="22"/>
    </row>
    <row r="4" spans="1:13" ht="30.75" customHeight="1" x14ac:dyDescent="0.3">
      <c r="A4" s="49" t="s">
        <v>138</v>
      </c>
      <c r="B4" s="50">
        <v>11122</v>
      </c>
      <c r="C4" s="51">
        <v>2000</v>
      </c>
      <c r="D4" s="175" t="s">
        <v>139</v>
      </c>
      <c r="E4" s="297" t="s">
        <v>140</v>
      </c>
      <c r="F4" s="192" t="s">
        <v>141</v>
      </c>
      <c r="G4" s="22"/>
      <c r="H4" s="22"/>
      <c r="I4" s="22"/>
      <c r="J4" s="22"/>
      <c r="K4" s="22">
        <v>100</v>
      </c>
      <c r="L4" s="22"/>
      <c r="M4" s="22"/>
    </row>
    <row r="5" spans="1:13" ht="30.75" customHeight="1" x14ac:dyDescent="0.3">
      <c r="A5" s="41" t="s">
        <v>142</v>
      </c>
      <c r="B5" s="42">
        <v>11121</v>
      </c>
      <c r="C5" s="43">
        <v>200</v>
      </c>
      <c r="D5" s="176" t="s">
        <v>139</v>
      </c>
      <c r="E5" s="297"/>
      <c r="F5" s="192" t="s">
        <v>141</v>
      </c>
      <c r="G5" s="22"/>
      <c r="H5" s="22"/>
      <c r="I5" s="22"/>
      <c r="J5" s="22"/>
      <c r="K5" s="22">
        <f>1600*5%</f>
        <v>80</v>
      </c>
      <c r="L5" s="22"/>
      <c r="M5" s="22"/>
    </row>
    <row r="6" spans="1:13" ht="30.75" customHeight="1" x14ac:dyDescent="0.3">
      <c r="A6" s="41" t="s">
        <v>10</v>
      </c>
      <c r="B6" s="45">
        <v>11182</v>
      </c>
      <c r="C6" s="100">
        <v>0.05</v>
      </c>
      <c r="D6" s="177" t="s">
        <v>143</v>
      </c>
      <c r="E6" s="297"/>
      <c r="F6" s="192" t="s">
        <v>141</v>
      </c>
      <c r="G6" s="22"/>
      <c r="H6" s="22"/>
      <c r="I6" s="22"/>
      <c r="J6" s="22"/>
      <c r="K6" s="22">
        <f>1680*5%</f>
        <v>84</v>
      </c>
      <c r="L6" s="22"/>
      <c r="M6" s="22"/>
    </row>
    <row r="7" spans="1:13" ht="30.75" customHeight="1" x14ac:dyDescent="0.3">
      <c r="A7" s="41" t="s">
        <v>144</v>
      </c>
      <c r="B7" s="45">
        <v>11143</v>
      </c>
      <c r="C7" s="100">
        <v>0.05</v>
      </c>
      <c r="D7" s="177" t="s">
        <v>145</v>
      </c>
      <c r="E7" s="297"/>
      <c r="F7" s="192" t="s">
        <v>141</v>
      </c>
      <c r="G7" s="22"/>
      <c r="H7" s="22"/>
      <c r="I7" s="22"/>
      <c r="J7" s="22"/>
      <c r="K7" s="22"/>
      <c r="L7" s="22"/>
      <c r="M7" s="22"/>
    </row>
    <row r="8" spans="1:13" ht="30.75" customHeight="1" x14ac:dyDescent="0.3">
      <c r="A8" s="36" t="s">
        <v>146</v>
      </c>
      <c r="B8" s="29">
        <v>11123</v>
      </c>
      <c r="C8" s="29">
        <v>100000</v>
      </c>
      <c r="D8" s="299" t="s">
        <v>147</v>
      </c>
      <c r="E8" s="297"/>
      <c r="F8" s="192" t="s">
        <v>148</v>
      </c>
      <c r="G8" s="22"/>
      <c r="H8" s="22"/>
      <c r="I8" s="22"/>
      <c r="J8" s="22"/>
      <c r="K8" s="22"/>
      <c r="L8" s="22"/>
      <c r="M8" s="22"/>
    </row>
    <row r="9" spans="1:13" ht="30.75" customHeight="1" x14ac:dyDescent="0.3">
      <c r="A9" s="36" t="s">
        <v>149</v>
      </c>
      <c r="B9" s="29">
        <v>1161</v>
      </c>
      <c r="C9" s="29">
        <v>20000</v>
      </c>
      <c r="D9" s="300"/>
      <c r="E9" s="297"/>
      <c r="F9" s="192" t="s">
        <v>148</v>
      </c>
      <c r="G9" s="22"/>
      <c r="H9" s="22"/>
      <c r="I9" s="22"/>
      <c r="J9" s="22"/>
      <c r="K9" s="22"/>
      <c r="L9" s="22"/>
      <c r="M9" s="22"/>
    </row>
    <row r="10" spans="1:13" ht="30.75" customHeight="1" x14ac:dyDescent="0.3">
      <c r="A10" s="36" t="s">
        <v>150</v>
      </c>
      <c r="B10" s="29">
        <v>1132</v>
      </c>
      <c r="C10" s="30" t="s">
        <v>151</v>
      </c>
      <c r="D10" s="178" t="s">
        <v>152</v>
      </c>
      <c r="E10" s="297"/>
      <c r="F10" s="192" t="s">
        <v>141</v>
      </c>
      <c r="G10" s="22"/>
      <c r="H10" s="22"/>
      <c r="I10" s="22"/>
      <c r="J10" s="22"/>
      <c r="K10" s="22"/>
      <c r="L10" s="22"/>
      <c r="M10" s="22"/>
    </row>
    <row r="11" spans="1:13" ht="30.75" customHeight="1" x14ac:dyDescent="0.3">
      <c r="A11" s="36" t="s">
        <v>153</v>
      </c>
      <c r="B11" s="29">
        <v>11144</v>
      </c>
      <c r="C11" s="29">
        <v>200000</v>
      </c>
      <c r="D11" s="178" t="s">
        <v>147</v>
      </c>
      <c r="E11" s="297"/>
      <c r="F11" s="192" t="s">
        <v>141</v>
      </c>
      <c r="G11" s="22"/>
      <c r="H11" s="22"/>
      <c r="I11" s="22"/>
      <c r="J11" s="22"/>
      <c r="K11" s="22"/>
      <c r="L11" s="22"/>
      <c r="M11" s="22"/>
    </row>
    <row r="12" spans="1:13" ht="30.75" customHeight="1" x14ac:dyDescent="0.3">
      <c r="A12" s="35" t="s">
        <v>7</v>
      </c>
      <c r="B12" s="27">
        <v>11146</v>
      </c>
      <c r="C12" s="31">
        <v>0.02</v>
      </c>
      <c r="D12" s="177" t="s">
        <v>145</v>
      </c>
      <c r="E12" s="297"/>
      <c r="F12" s="25"/>
      <c r="G12" s="22"/>
      <c r="H12" s="22"/>
      <c r="I12" s="22"/>
      <c r="J12" s="22"/>
      <c r="K12" s="22"/>
      <c r="L12" s="22"/>
      <c r="M12" s="22"/>
    </row>
    <row r="13" spans="1:13" ht="30.75" customHeight="1" x14ac:dyDescent="0.3">
      <c r="A13" s="35" t="s">
        <v>51</v>
      </c>
      <c r="B13" s="27">
        <v>111410</v>
      </c>
      <c r="C13" s="31">
        <v>0.02</v>
      </c>
      <c r="D13" s="177" t="s">
        <v>154</v>
      </c>
      <c r="E13" s="297"/>
      <c r="F13" s="25"/>
      <c r="G13" s="22"/>
      <c r="H13" s="22"/>
      <c r="I13" s="22"/>
      <c r="J13" s="22"/>
      <c r="K13" s="22"/>
      <c r="L13" s="22"/>
      <c r="M13" s="22"/>
    </row>
    <row r="14" spans="1:13" ht="30.75" customHeight="1" x14ac:dyDescent="0.3">
      <c r="A14" s="35" t="s">
        <v>25</v>
      </c>
      <c r="B14" s="27">
        <v>111411</v>
      </c>
      <c r="C14" s="31">
        <v>0.02</v>
      </c>
      <c r="D14" s="177" t="s">
        <v>155</v>
      </c>
      <c r="E14" s="297"/>
      <c r="F14" s="25"/>
      <c r="G14" s="22"/>
      <c r="H14" s="22"/>
      <c r="I14" s="22"/>
      <c r="J14" s="22"/>
      <c r="K14" s="22"/>
      <c r="L14" s="22"/>
      <c r="M14" s="22"/>
    </row>
    <row r="15" spans="1:13" ht="30.75" customHeight="1" x14ac:dyDescent="0.3">
      <c r="A15" s="35" t="s">
        <v>53</v>
      </c>
      <c r="B15" s="27">
        <v>111412</v>
      </c>
      <c r="C15" s="31">
        <v>0.15</v>
      </c>
      <c r="D15" s="177" t="s">
        <v>156</v>
      </c>
      <c r="E15" s="297"/>
      <c r="F15" s="25"/>
      <c r="G15" s="22"/>
      <c r="H15" s="22"/>
      <c r="I15" s="22">
        <f>2000+200</f>
        <v>2200</v>
      </c>
      <c r="J15" s="22"/>
      <c r="K15" s="22"/>
      <c r="L15" s="22"/>
      <c r="M15" s="22"/>
    </row>
    <row r="16" spans="1:13" ht="30.75" customHeight="1" x14ac:dyDescent="0.3">
      <c r="A16" s="35" t="s">
        <v>44</v>
      </c>
      <c r="B16" s="27">
        <v>11135</v>
      </c>
      <c r="C16" s="32">
        <v>2.5000000000000001E-2</v>
      </c>
      <c r="D16" s="177" t="s">
        <v>157</v>
      </c>
      <c r="E16" s="297"/>
      <c r="F16" s="25"/>
      <c r="G16" s="22"/>
      <c r="H16" s="22"/>
      <c r="I16" s="22">
        <f>I15*5%</f>
        <v>110</v>
      </c>
      <c r="J16" s="22"/>
      <c r="K16" s="22"/>
      <c r="L16" s="22"/>
      <c r="M16" s="22"/>
    </row>
    <row r="17" spans="1:13" ht="30.75" customHeight="1" thickBot="1" x14ac:dyDescent="0.35">
      <c r="A17" s="47" t="s">
        <v>12</v>
      </c>
      <c r="B17" s="48" t="s">
        <v>21</v>
      </c>
      <c r="C17" s="48">
        <v>10000</v>
      </c>
      <c r="D17" s="179" t="s">
        <v>147</v>
      </c>
      <c r="E17" s="298"/>
      <c r="F17" s="25"/>
      <c r="G17" s="22"/>
      <c r="H17" s="22"/>
      <c r="I17" s="22">
        <f>2200+110</f>
        <v>2310</v>
      </c>
      <c r="J17" s="22"/>
      <c r="K17" s="22"/>
      <c r="L17" s="22"/>
      <c r="M17" s="22"/>
    </row>
    <row r="18" spans="1:13" ht="15" thickBot="1" x14ac:dyDescent="0.35">
      <c r="A18" s="22"/>
      <c r="B18" s="22"/>
      <c r="C18" s="22"/>
      <c r="D18" s="180"/>
      <c r="E18" s="22"/>
      <c r="F18" s="22"/>
      <c r="G18" s="22"/>
      <c r="H18" s="22"/>
      <c r="I18" s="22"/>
      <c r="J18" s="22"/>
      <c r="K18" s="22"/>
      <c r="L18" s="22"/>
      <c r="M18" s="22"/>
    </row>
    <row r="19" spans="1:13" x14ac:dyDescent="0.3">
      <c r="A19" s="216" t="s">
        <v>158</v>
      </c>
      <c r="B19" s="217"/>
      <c r="C19" s="217"/>
      <c r="D19" s="217"/>
      <c r="E19" s="218"/>
      <c r="F19" s="22"/>
      <c r="G19" s="22"/>
      <c r="H19" s="22"/>
      <c r="I19" s="22">
        <f>I17*5%</f>
        <v>115.5</v>
      </c>
      <c r="J19" s="22"/>
      <c r="K19" s="22"/>
      <c r="L19" s="22"/>
      <c r="M19" s="22"/>
    </row>
    <row r="20" spans="1:13" ht="15" thickBot="1" x14ac:dyDescent="0.35">
      <c r="A20" s="301"/>
      <c r="B20" s="302"/>
      <c r="C20" s="302"/>
      <c r="D20" s="302"/>
      <c r="E20" s="303"/>
      <c r="F20" s="22"/>
      <c r="G20" s="22"/>
      <c r="H20" s="22"/>
      <c r="I20" s="22"/>
      <c r="J20" s="22"/>
      <c r="K20" s="22"/>
      <c r="L20" s="22"/>
      <c r="M20" s="22"/>
    </row>
    <row r="21" spans="1:13" ht="15.6" x14ac:dyDescent="0.3">
      <c r="A21" s="35"/>
      <c r="B21" s="27"/>
      <c r="C21" s="110" t="s">
        <v>159</v>
      </c>
      <c r="D21" s="181">
        <v>432</v>
      </c>
      <c r="E21" s="170" t="s">
        <v>160</v>
      </c>
      <c r="F21" s="22"/>
      <c r="G21" s="22"/>
      <c r="H21" s="22"/>
      <c r="I21" s="22"/>
      <c r="J21" s="22"/>
      <c r="K21" s="22"/>
      <c r="L21" s="22"/>
      <c r="M21" s="22"/>
    </row>
    <row r="22" spans="1:13" x14ac:dyDescent="0.3">
      <c r="A22" s="35"/>
      <c r="B22" s="27" t="s">
        <v>133</v>
      </c>
      <c r="C22" s="28" t="s">
        <v>3</v>
      </c>
      <c r="D22" s="186" t="s">
        <v>4</v>
      </c>
      <c r="E22" s="171">
        <v>0</v>
      </c>
      <c r="F22" s="22"/>
      <c r="G22" s="22"/>
      <c r="H22" s="22"/>
      <c r="I22" s="22"/>
      <c r="J22" s="22"/>
      <c r="K22" s="22"/>
      <c r="L22" s="22"/>
      <c r="M22" s="22"/>
    </row>
    <row r="23" spans="1:13" ht="30.6" x14ac:dyDescent="0.3">
      <c r="A23" s="44" t="s">
        <v>161</v>
      </c>
      <c r="B23" s="45">
        <v>11122</v>
      </c>
      <c r="C23" s="46">
        <v>2000</v>
      </c>
      <c r="D23" s="182">
        <f>(C23*D21)*E24%</f>
        <v>864000</v>
      </c>
      <c r="E23" s="172" t="s">
        <v>162</v>
      </c>
      <c r="F23" s="22"/>
      <c r="G23" s="22"/>
      <c r="H23" s="22"/>
      <c r="I23" s="22"/>
      <c r="J23" s="22"/>
      <c r="K23" s="22"/>
      <c r="L23" s="22"/>
      <c r="M23" s="22"/>
    </row>
    <row r="24" spans="1:13" ht="15" thickBot="1" x14ac:dyDescent="0.35">
      <c r="A24" s="44" t="s">
        <v>142</v>
      </c>
      <c r="B24" s="45">
        <v>11121</v>
      </c>
      <c r="C24" s="46">
        <v>200</v>
      </c>
      <c r="D24" s="182">
        <f>C24*D21</f>
        <v>86400</v>
      </c>
      <c r="E24" s="173">
        <f>100-E22</f>
        <v>100</v>
      </c>
      <c r="F24" s="22"/>
      <c r="G24" s="22"/>
      <c r="H24" s="22"/>
      <c r="I24" s="22"/>
      <c r="J24" s="22"/>
      <c r="K24" s="22"/>
      <c r="L24" s="22"/>
      <c r="M24" s="22"/>
    </row>
    <row r="25" spans="1:13" x14ac:dyDescent="0.3">
      <c r="A25" s="41" t="s">
        <v>10</v>
      </c>
      <c r="B25" s="45">
        <v>11182</v>
      </c>
      <c r="C25" s="100">
        <v>0.05</v>
      </c>
      <c r="D25" s="183">
        <f>(D23+D24)*5%</f>
        <v>47520</v>
      </c>
      <c r="E25" s="94"/>
      <c r="F25" s="22"/>
      <c r="G25" s="22"/>
      <c r="H25" s="22"/>
      <c r="I25" s="22"/>
      <c r="J25" s="22"/>
      <c r="K25" s="22"/>
      <c r="L25" s="22"/>
      <c r="M25" s="22"/>
    </row>
    <row r="26" spans="1:13" x14ac:dyDescent="0.3">
      <c r="A26" s="41" t="s">
        <v>144</v>
      </c>
      <c r="B26" s="45">
        <v>11143</v>
      </c>
      <c r="C26" s="100">
        <v>0.05</v>
      </c>
      <c r="D26" s="183">
        <f>(D23+D24+D25)*5/100</f>
        <v>49896</v>
      </c>
      <c r="E26" s="26"/>
      <c r="F26" s="22"/>
      <c r="G26" s="22"/>
      <c r="H26" s="22"/>
      <c r="I26" s="22"/>
      <c r="J26" s="22"/>
      <c r="K26" s="22"/>
      <c r="L26" s="22"/>
      <c r="M26" s="22"/>
    </row>
    <row r="27" spans="1:13" x14ac:dyDescent="0.3">
      <c r="A27" s="36" t="s">
        <v>146</v>
      </c>
      <c r="B27" s="29">
        <v>11123</v>
      </c>
      <c r="C27" s="29">
        <v>200000</v>
      </c>
      <c r="D27" s="184">
        <f>C27</f>
        <v>200000</v>
      </c>
      <c r="E27" s="26"/>
      <c r="F27" s="22"/>
      <c r="G27" s="22"/>
      <c r="H27" s="22"/>
      <c r="I27" s="22"/>
      <c r="J27" s="22"/>
      <c r="K27" s="22"/>
      <c r="L27" s="22"/>
      <c r="M27" s="22"/>
    </row>
    <row r="28" spans="1:13" x14ac:dyDescent="0.3">
      <c r="A28" s="36" t="s">
        <v>149</v>
      </c>
      <c r="B28" s="29">
        <v>1161</v>
      </c>
      <c r="C28" s="29">
        <v>20000</v>
      </c>
      <c r="D28" s="184">
        <f>C28</f>
        <v>20000</v>
      </c>
      <c r="E28" s="26"/>
      <c r="F28" s="22"/>
      <c r="G28" s="22"/>
      <c r="H28" s="22"/>
      <c r="I28" s="22"/>
      <c r="J28" s="22"/>
      <c r="K28" s="22"/>
      <c r="L28" s="22"/>
      <c r="M28" s="22"/>
    </row>
    <row r="29" spans="1:13" x14ac:dyDescent="0.3">
      <c r="A29" s="36" t="s">
        <v>150</v>
      </c>
      <c r="B29" s="29">
        <v>1132</v>
      </c>
      <c r="C29" s="30" t="str">
        <f>IF(D21&gt;575, B45, IF(D21&gt;215, B44, IF(D21&gt;143,B43, IF(D21&gt;100,B42, B41))))</f>
        <v>Range-4</v>
      </c>
      <c r="D29" s="184">
        <f>IF(D21&gt;575,C45, IF(D21&gt;215, C44, IF(D21&gt;143,C43, IF(D21&gt;100,C42, C41))))</f>
        <v>35000</v>
      </c>
      <c r="E29" s="26"/>
      <c r="F29" s="22"/>
      <c r="G29" s="22"/>
      <c r="H29" s="22"/>
      <c r="I29" s="22"/>
      <c r="J29" s="22"/>
      <c r="K29" s="22"/>
      <c r="L29" s="22"/>
      <c r="M29" s="22"/>
    </row>
    <row r="30" spans="1:13" x14ac:dyDescent="0.3">
      <c r="A30" s="36" t="s">
        <v>153</v>
      </c>
      <c r="B30" s="29">
        <v>11144</v>
      </c>
      <c r="C30" s="29">
        <v>200000</v>
      </c>
      <c r="D30" s="197">
        <f>C30</f>
        <v>200000</v>
      </c>
      <c r="E30" s="199">
        <v>100000</v>
      </c>
      <c r="F30" s="22" t="s">
        <v>181</v>
      </c>
      <c r="G30" s="22"/>
      <c r="H30" s="22"/>
      <c r="I30" s="22"/>
      <c r="J30" s="22"/>
      <c r="K30" s="22"/>
      <c r="L30" s="22"/>
      <c r="M30" s="22"/>
    </row>
    <row r="31" spans="1:13" x14ac:dyDescent="0.3">
      <c r="A31" s="35" t="s">
        <v>7</v>
      </c>
      <c r="B31" s="27">
        <v>11146</v>
      </c>
      <c r="C31" s="31">
        <v>0.02</v>
      </c>
      <c r="D31" s="185">
        <f>(D23+D24+D25+D26+D27+D28+D29+D30)*2%</f>
        <v>30056.32</v>
      </c>
      <c r="E31" s="26"/>
      <c r="F31" s="22"/>
      <c r="G31" s="22"/>
      <c r="H31" s="22"/>
      <c r="I31" s="22"/>
      <c r="J31" s="22"/>
      <c r="K31" s="22"/>
      <c r="L31" s="22"/>
      <c r="M31" s="22"/>
    </row>
    <row r="32" spans="1:13" x14ac:dyDescent="0.3">
      <c r="A32" s="35" t="s">
        <v>51</v>
      </c>
      <c r="B32" s="27">
        <v>111410</v>
      </c>
      <c r="C32" s="31">
        <v>0.02</v>
      </c>
      <c r="D32" s="185">
        <f>(D23+D24+D25+D26+D27+D28+D29+D30+D31)*2%</f>
        <v>30657.446400000001</v>
      </c>
      <c r="E32" s="26"/>
      <c r="F32" s="22"/>
      <c r="G32" s="22"/>
      <c r="H32" s="22"/>
      <c r="I32" s="22"/>
      <c r="J32" s="22"/>
      <c r="K32" s="22"/>
      <c r="L32" s="22"/>
      <c r="M32" s="22"/>
    </row>
    <row r="33" spans="1:13" x14ac:dyDescent="0.3">
      <c r="A33" s="35" t="s">
        <v>25</v>
      </c>
      <c r="B33" s="27">
        <v>111411</v>
      </c>
      <c r="C33" s="31">
        <v>0.02</v>
      </c>
      <c r="D33" s="185">
        <f>(D23+D24+D25+D26+D27+D28+D29+D30+D31+D32)*2%</f>
        <v>31270.595328000003</v>
      </c>
      <c r="E33" s="26"/>
      <c r="F33" s="22"/>
      <c r="G33" s="22"/>
      <c r="H33" s="22"/>
      <c r="I33" s="22"/>
      <c r="J33" s="22"/>
      <c r="K33" s="22"/>
      <c r="L33" s="22"/>
      <c r="M33" s="22"/>
    </row>
    <row r="34" spans="1:13" x14ac:dyDescent="0.3">
      <c r="A34" s="35" t="s">
        <v>53</v>
      </c>
      <c r="B34" s="27">
        <v>111412</v>
      </c>
      <c r="C34" s="31">
        <v>0.15</v>
      </c>
      <c r="D34" s="185">
        <f>(D23+D24+D25+D26+D27+D28+D29+D30+D31+D32+D33)*15%</f>
        <v>239220.0542592</v>
      </c>
      <c r="E34" s="26"/>
      <c r="F34" s="73"/>
      <c r="G34" s="22"/>
      <c r="H34" s="22"/>
      <c r="I34" s="22"/>
      <c r="J34" s="22"/>
      <c r="K34" s="22"/>
      <c r="L34" s="22"/>
      <c r="M34" s="22"/>
    </row>
    <row r="35" spans="1:13" x14ac:dyDescent="0.3">
      <c r="A35" s="35" t="s">
        <v>44</v>
      </c>
      <c r="B35" s="27">
        <v>11135</v>
      </c>
      <c r="C35" s="32">
        <v>2.5000000000000001E-2</v>
      </c>
      <c r="D35" s="185">
        <f>(D23+D24+D25+D26+D27+D28+D29+D30+D31+D32+D33+D34)*2.5%</f>
        <v>45850.510399680003</v>
      </c>
      <c r="E35" s="26"/>
      <c r="F35" s="22"/>
      <c r="G35" s="22"/>
      <c r="H35" s="22"/>
      <c r="I35" s="22"/>
      <c r="J35" s="22"/>
      <c r="K35" s="22"/>
      <c r="L35" s="22"/>
      <c r="M35" s="22"/>
    </row>
    <row r="36" spans="1:13" x14ac:dyDescent="0.3">
      <c r="A36" s="36" t="s">
        <v>12</v>
      </c>
      <c r="B36" s="29" t="s">
        <v>21</v>
      </c>
      <c r="C36" s="29">
        <v>15000</v>
      </c>
      <c r="D36" s="198">
        <v>15000</v>
      </c>
      <c r="E36" s="200">
        <v>10000</v>
      </c>
      <c r="F36" s="22" t="s">
        <v>181</v>
      </c>
      <c r="G36" s="22"/>
      <c r="H36" s="22"/>
      <c r="I36" s="22"/>
      <c r="J36" s="22"/>
      <c r="K36" s="22"/>
      <c r="L36" s="22"/>
      <c r="M36" s="22"/>
    </row>
    <row r="37" spans="1:13" ht="15" thickBot="1" x14ac:dyDescent="0.35">
      <c r="A37" s="37"/>
      <c r="B37" s="304" t="s">
        <v>163</v>
      </c>
      <c r="C37" s="304"/>
      <c r="D37" s="112">
        <f>SUM(D23:D36)</f>
        <v>1894870.9263868802</v>
      </c>
      <c r="E37" s="111"/>
      <c r="F37" s="22"/>
      <c r="G37" s="22"/>
      <c r="H37" s="22"/>
      <c r="I37" s="22"/>
      <c r="J37" s="22"/>
      <c r="K37" s="22"/>
      <c r="L37" s="22"/>
      <c r="M37" s="22"/>
    </row>
    <row r="38" spans="1:13" ht="15" thickBot="1" x14ac:dyDescent="0.35">
      <c r="A38" s="22"/>
      <c r="B38" s="22"/>
      <c r="C38" s="22"/>
      <c r="D38" s="180"/>
      <c r="E38" s="22"/>
      <c r="F38" s="22"/>
      <c r="G38" s="22"/>
      <c r="H38" s="22"/>
      <c r="I38" s="22"/>
      <c r="J38" s="22"/>
      <c r="K38" s="22"/>
      <c r="L38" s="22"/>
      <c r="M38" s="22"/>
    </row>
    <row r="39" spans="1:13" ht="15" thickBot="1" x14ac:dyDescent="0.35">
      <c r="A39" s="265" t="s">
        <v>164</v>
      </c>
      <c r="B39" s="266"/>
      <c r="C39" s="267"/>
      <c r="D39" s="180"/>
      <c r="E39" s="22"/>
      <c r="F39" s="22"/>
      <c r="G39" s="22"/>
      <c r="H39" s="22"/>
      <c r="I39" s="22"/>
      <c r="J39" s="22"/>
      <c r="K39" s="22"/>
      <c r="L39" s="22"/>
      <c r="M39" s="22"/>
    </row>
    <row r="40" spans="1:13" ht="15" thickBot="1" x14ac:dyDescent="0.35">
      <c r="A40" s="92" t="s">
        <v>165</v>
      </c>
      <c r="B40" s="93" t="s">
        <v>166</v>
      </c>
      <c r="C40" s="94" t="s">
        <v>167</v>
      </c>
      <c r="D40" s="180"/>
      <c r="E40" s="22"/>
      <c r="F40" s="22"/>
      <c r="G40" s="22"/>
      <c r="H40" s="22"/>
      <c r="I40" s="265" t="s">
        <v>164</v>
      </c>
      <c r="J40" s="266"/>
      <c r="K40" s="267"/>
      <c r="L40" s="22"/>
      <c r="M40" s="22"/>
    </row>
    <row r="41" spans="1:13" x14ac:dyDescent="0.3">
      <c r="A41" s="35" t="s">
        <v>168</v>
      </c>
      <c r="B41" s="25" t="s">
        <v>169</v>
      </c>
      <c r="C41" s="26">
        <v>15000</v>
      </c>
      <c r="D41" s="180"/>
      <c r="E41" s="22"/>
      <c r="F41" s="22"/>
      <c r="G41" s="22"/>
      <c r="H41" s="22"/>
      <c r="I41" s="92" t="s">
        <v>165</v>
      </c>
      <c r="J41" s="93" t="s">
        <v>166</v>
      </c>
      <c r="K41" s="94" t="s">
        <v>167</v>
      </c>
      <c r="L41" s="22"/>
      <c r="M41" s="22"/>
    </row>
    <row r="42" spans="1:13" x14ac:dyDescent="0.3">
      <c r="A42" s="35" t="s">
        <v>170</v>
      </c>
      <c r="B42" s="25" t="s">
        <v>171</v>
      </c>
      <c r="C42" s="26">
        <v>20000</v>
      </c>
      <c r="D42" s="180"/>
      <c r="E42" s="22"/>
      <c r="F42" s="22"/>
      <c r="G42" s="22"/>
      <c r="H42" s="22"/>
      <c r="I42" s="35" t="s">
        <v>168</v>
      </c>
      <c r="J42" s="25" t="s">
        <v>169</v>
      </c>
      <c r="K42" s="26">
        <v>10000</v>
      </c>
      <c r="L42" s="22"/>
      <c r="M42" s="22"/>
    </row>
    <row r="43" spans="1:13" x14ac:dyDescent="0.3">
      <c r="A43" s="35" t="s">
        <v>172</v>
      </c>
      <c r="B43" s="25" t="s">
        <v>173</v>
      </c>
      <c r="C43" s="26">
        <v>25000</v>
      </c>
      <c r="D43" s="180"/>
      <c r="E43" s="22"/>
      <c r="F43" s="22"/>
      <c r="G43" s="22"/>
      <c r="H43" s="22"/>
      <c r="I43" s="35" t="s">
        <v>170</v>
      </c>
      <c r="J43" s="25" t="s">
        <v>171</v>
      </c>
      <c r="K43" s="26">
        <v>15000</v>
      </c>
      <c r="L43" s="22"/>
      <c r="M43" s="22"/>
    </row>
    <row r="44" spans="1:13" ht="15" thickBot="1" x14ac:dyDescent="0.35">
      <c r="A44" s="83" t="s">
        <v>174</v>
      </c>
      <c r="B44" s="84" t="s">
        <v>175</v>
      </c>
      <c r="C44" s="77">
        <v>35000</v>
      </c>
      <c r="D44" s="180"/>
      <c r="E44" s="22"/>
      <c r="F44" s="22"/>
      <c r="G44" s="22"/>
      <c r="H44" s="22"/>
      <c r="I44" s="35" t="s">
        <v>172</v>
      </c>
      <c r="J44" s="25" t="s">
        <v>173</v>
      </c>
      <c r="K44" s="26">
        <v>20000</v>
      </c>
      <c r="L44" s="22"/>
      <c r="M44" s="22"/>
    </row>
    <row r="45" spans="1:13" ht="15" thickBot="1" x14ac:dyDescent="0.35">
      <c r="A45" s="83" t="s">
        <v>176</v>
      </c>
      <c r="B45" s="84" t="s">
        <v>177</v>
      </c>
      <c r="C45" s="77">
        <v>45000</v>
      </c>
      <c r="D45" s="180"/>
      <c r="E45" s="22"/>
      <c r="F45" s="22"/>
      <c r="G45" s="22"/>
      <c r="H45" s="22"/>
      <c r="I45" s="83" t="s">
        <v>174</v>
      </c>
      <c r="J45" s="84" t="s">
        <v>175</v>
      </c>
      <c r="K45" s="77">
        <v>30000</v>
      </c>
      <c r="L45" s="22"/>
      <c r="M45" s="22"/>
    </row>
    <row r="46" spans="1:13" ht="15" thickBot="1" x14ac:dyDescent="0.35">
      <c r="A46" s="22"/>
      <c r="B46" s="22"/>
      <c r="C46" s="22"/>
      <c r="D46" s="180"/>
      <c r="E46" s="22"/>
      <c r="F46" s="22"/>
      <c r="G46" s="22"/>
      <c r="H46" s="22"/>
      <c r="I46" s="83" t="s">
        <v>176</v>
      </c>
      <c r="J46" s="84" t="s">
        <v>177</v>
      </c>
      <c r="K46" s="77">
        <v>40000</v>
      </c>
      <c r="L46" s="22"/>
      <c r="M46" s="22"/>
    </row>
    <row r="47" spans="1:13" ht="15" thickBot="1" x14ac:dyDescent="0.35"/>
    <row r="48" spans="1:13" ht="15" thickBot="1" x14ac:dyDescent="0.35">
      <c r="A48" s="265" t="s">
        <v>164</v>
      </c>
      <c r="B48" s="266"/>
      <c r="C48" s="267"/>
      <c r="D48" s="180"/>
    </row>
    <row r="49" spans="1:4" x14ac:dyDescent="0.3">
      <c r="A49" s="92" t="s">
        <v>165</v>
      </c>
      <c r="B49" s="93" t="s">
        <v>166</v>
      </c>
      <c r="C49" s="94" t="s">
        <v>167</v>
      </c>
      <c r="D49" s="180"/>
    </row>
    <row r="50" spans="1:4" x14ac:dyDescent="0.3">
      <c r="A50" s="35" t="s">
        <v>168</v>
      </c>
      <c r="B50" s="25" t="s">
        <v>169</v>
      </c>
      <c r="C50" s="26">
        <v>15000</v>
      </c>
      <c r="D50" s="180"/>
    </row>
    <row r="51" spans="1:4" x14ac:dyDescent="0.3">
      <c r="A51" s="35" t="s">
        <v>170</v>
      </c>
      <c r="B51" s="25" t="s">
        <v>171</v>
      </c>
      <c r="C51" s="26">
        <v>20000</v>
      </c>
      <c r="D51" s="180"/>
    </row>
    <row r="52" spans="1:4" x14ac:dyDescent="0.3">
      <c r="A52" s="35" t="s">
        <v>172</v>
      </c>
      <c r="B52" s="25" t="s">
        <v>173</v>
      </c>
      <c r="C52" s="26">
        <v>25000</v>
      </c>
      <c r="D52" s="196" t="s">
        <v>180</v>
      </c>
    </row>
    <row r="53" spans="1:4" ht="15" thickBot="1" x14ac:dyDescent="0.35">
      <c r="A53" s="83" t="s">
        <v>178</v>
      </c>
      <c r="B53" s="84" t="s">
        <v>175</v>
      </c>
      <c r="C53" s="77">
        <v>35000</v>
      </c>
      <c r="D53" s="180"/>
    </row>
    <row r="54" spans="1:4" ht="15" thickBot="1" x14ac:dyDescent="0.35">
      <c r="A54" s="83" t="s">
        <v>179</v>
      </c>
      <c r="B54" s="84" t="s">
        <v>177</v>
      </c>
      <c r="C54" s="77">
        <v>45000</v>
      </c>
      <c r="D54" s="180"/>
    </row>
    <row r="55" spans="1:4" x14ac:dyDescent="0.3">
      <c r="A55" s="22"/>
      <c r="B55" s="22"/>
      <c r="C55" s="22"/>
      <c r="D55" s="180"/>
    </row>
  </sheetData>
  <mergeCells count="8">
    <mergeCell ref="A48:C48"/>
    <mergeCell ref="I40:K40"/>
    <mergeCell ref="A1:E2"/>
    <mergeCell ref="E4:E17"/>
    <mergeCell ref="D8:D9"/>
    <mergeCell ref="A19:E20"/>
    <mergeCell ref="B37:C37"/>
    <mergeCell ref="A39:C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Geometer Fee</vt:lpstr>
      <vt:lpstr>Transfer Tax</vt:lpstr>
      <vt:lpstr>PLT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Senthil Kumar.G</dc:creator>
  <cp:lastModifiedBy>GIS-USER</cp:lastModifiedBy>
  <dcterms:created xsi:type="dcterms:W3CDTF">2022-08-22T07:28:37Z</dcterms:created>
  <dcterms:modified xsi:type="dcterms:W3CDTF">2022-09-04T09:50:37Z</dcterms:modified>
</cp:coreProperties>
</file>